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xr:revisionPtr revIDLastSave="61" documentId="11_2F90164040B7D2DA575388D3831F1D88947D5FFC" xr6:coauthVersionLast="47" xr6:coauthVersionMax="47" xr10:uidLastSave="{095840FF-A3AD-4576-A0C5-9C72BCB8C530}"/>
  <bookViews>
    <workbookView xWindow="0" yWindow="0" windowWidth="16384" windowHeight="8192" tabRatio="500" activeTab="2" xr2:uid="{00000000-000D-0000-FFFF-FFFF00000000}"/>
  </bookViews>
  <sheets>
    <sheet name="Data" sheetId="1" r:id="rId1"/>
    <sheet name="Dynamic Table" sheetId="2" r:id="rId2"/>
    <sheet name="Yearly Forecast" sheetId="3" r:id="rId3"/>
    <sheet name="chart_calcs" sheetId="4" state="hidden" r:id="rId4"/>
  </sheets>
  <definedNames>
    <definedName name="CategoriesExpense">{"room &amp; board";"tuition &amp; fees";"books &amp; supplies";"transportation";"discretionary";"other expenses"}</definedName>
    <definedName name="CategoriesIncome">{"financial aid";"wages (after-tax)";"family help";"from savings";"other"}</definedName>
    <definedName name="FirstMonth">UPPER(TEXT(StartDate,"mmm "))</definedName>
    <definedName name="income_percent_selected_period">'Yearly Forecast'!$P$28:$P$32</definedName>
    <definedName name="NextMonth">UPPER(TEXT(EOMONTH(VALUE('Yearly Forecast'!XFD1&amp;"1"),0)+1,"mmm "))</definedName>
    <definedName name="PercentsExpense">'Yearly Forecast'!$P$38,'Yearly Forecast'!$P$40,'Yearly Forecast'!$P$41,'Yearly Forecast'!$P$42,'Yearly Forecast'!$P$43,'Yearly Forecast'!$P$44</definedName>
    <definedName name="PercentsIncome">'Yearly Forecast'!$P$28:$P$32</definedName>
    <definedName name="Periods">'Yearly Forecast'!$C$23:$O$23</definedName>
    <definedName name="ScrollBarValue">chart_calcs!$D$13</definedName>
    <definedName name="SelectedPeriod">INDEX(Periods,,ScrollBarValue)</definedName>
    <definedName name="SelectedPeriodCashFlowNegative">INDEX('Yearly Forecast'!$C$24:$O$24,,SelectedPeriodColumn)*NOT(SelectedPeriodIsFunded)</definedName>
    <definedName name="SelectedPeriodCashFlowNegative_Mirror">CHOOSE({1,2,3},0,SelectedPeriodCashFlowNegative,-(MAX(ABS(SelectedPeriodCashFlowNegative),SelectedPeriodCashFlowPositive)))</definedName>
    <definedName name="SelectedPeriodCashFlowPositive">INDEX('Yearly Forecast'!$C$24:$O$24,,SelectedPeriodColumn)*SelectedPeriodIsFunded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INDEX('Yearly Forecast'!$C$34:$O$34,,SelectedPeriodColumn)&gt;=INDEX('Yearly Forecast'!$C$52:$O$52,,SelectedPeriodColumn)</definedName>
    <definedName name="SelectedStartMonth">'Yearly Forecast'!#REF!</definedName>
    <definedName name="StartDate">DATEVALUE("1-"&amp;SelectedStartMonth&amp;"-"&amp;YEAR(TODAY()))</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17" i="2" l="1"/>
  <c r="E4" i="2"/>
  <c r="E5" i="2"/>
  <c r="E6" i="2"/>
  <c r="E7" i="2"/>
  <c r="E8" i="2"/>
  <c r="E9" i="2"/>
  <c r="E10" i="2"/>
  <c r="E11" i="2"/>
  <c r="E12" i="2"/>
  <c r="E13" i="2"/>
  <c r="E14" i="2"/>
  <c r="E15" i="2"/>
  <c r="E16" i="2"/>
  <c r="E17" i="2"/>
  <c r="E3" i="2"/>
  <c r="C37" i="3"/>
  <c r="D37" i="3"/>
  <c r="E37" i="3"/>
  <c r="F37" i="3"/>
  <c r="G37" i="3"/>
  <c r="H37" i="3"/>
  <c r="I37" i="3"/>
  <c r="J37" i="3"/>
  <c r="K37" i="3"/>
  <c r="L37" i="3"/>
  <c r="M37" i="3"/>
  <c r="N37" i="3"/>
  <c r="O37" i="3"/>
  <c r="P37" i="3"/>
  <c r="D18" i="1"/>
  <c r="E18" i="1"/>
  <c r="F18" i="1"/>
  <c r="G18" i="1"/>
  <c r="H18" i="1"/>
  <c r="I18" i="1"/>
  <c r="J18" i="1"/>
  <c r="K18" i="1"/>
  <c r="L18" i="1"/>
  <c r="M18" i="1"/>
  <c r="N18" i="1"/>
  <c r="C18" i="1"/>
  <c r="P15" i="4"/>
  <c r="O15" i="4"/>
  <c r="N15" i="4"/>
  <c r="M15" i="4"/>
  <c r="L15" i="4"/>
  <c r="K15" i="4"/>
  <c r="J15" i="4"/>
  <c r="I15" i="4"/>
  <c r="H15" i="4"/>
  <c r="G15" i="4"/>
  <c r="F15" i="4"/>
  <c r="E15" i="4"/>
  <c r="P14" i="4"/>
  <c r="O14" i="4"/>
  <c r="N14" i="4"/>
  <c r="M14" i="4"/>
  <c r="L14" i="4"/>
  <c r="K14" i="4"/>
  <c r="J14" i="4"/>
  <c r="I14" i="4"/>
  <c r="H14" i="4"/>
  <c r="G14" i="4"/>
  <c r="F14" i="4"/>
  <c r="E14" i="4"/>
  <c r="P12" i="4"/>
  <c r="O12" i="4"/>
  <c r="N12" i="4"/>
  <c r="M12" i="4"/>
  <c r="L12" i="4"/>
  <c r="K12" i="4"/>
  <c r="J12" i="4"/>
  <c r="I12" i="4"/>
  <c r="H12" i="4"/>
  <c r="G12" i="4"/>
  <c r="F12" i="4"/>
  <c r="E12" i="4"/>
  <c r="D12" i="4"/>
  <c r="D3" i="4"/>
  <c r="A16" i="2"/>
  <c r="A15" i="2"/>
  <c r="A14" i="2"/>
  <c r="A13" i="2"/>
  <c r="A12" i="2"/>
  <c r="A11" i="2"/>
  <c r="A10" i="2"/>
  <c r="A9" i="2"/>
  <c r="A8" i="2"/>
  <c r="A7" i="2"/>
  <c r="A6" i="2"/>
  <c r="A5" i="2"/>
  <c r="A4" i="2"/>
  <c r="A3" i="2"/>
  <c r="A2" i="2"/>
  <c r="G46" i="1"/>
  <c r="G45" i="1"/>
  <c r="G44" i="1"/>
  <c r="G43" i="1"/>
  <c r="G42" i="1"/>
  <c r="N19" i="1"/>
  <c r="N20" i="1" s="1"/>
  <c r="M19" i="1"/>
  <c r="M20" i="1" s="1"/>
  <c r="L19" i="1"/>
  <c r="L20" i="1" s="1"/>
  <c r="K19" i="1"/>
  <c r="K20" i="1" s="1"/>
  <c r="J19" i="1"/>
  <c r="J20" i="1" s="1"/>
  <c r="I19" i="1"/>
  <c r="I20" i="1" s="1"/>
  <c r="H19" i="1"/>
  <c r="H20" i="1" s="1"/>
  <c r="G19" i="1"/>
  <c r="G20" i="1" s="1"/>
  <c r="F19" i="1"/>
  <c r="F20" i="1" s="1"/>
  <c r="E19" i="1"/>
  <c r="E20" i="1" s="1"/>
  <c r="D19" i="1"/>
  <c r="D20" i="1" s="1"/>
  <c r="C19" i="1"/>
  <c r="C20" i="1" s="1"/>
  <c r="N51" i="3"/>
  <c r="M51" i="3"/>
  <c r="L51" i="3"/>
  <c r="K51" i="3"/>
  <c r="J51" i="3"/>
  <c r="I51" i="3"/>
  <c r="H51" i="3"/>
  <c r="G51" i="3"/>
  <c r="F51" i="3"/>
  <c r="E51" i="3"/>
  <c r="D51" i="3"/>
  <c r="C51" i="3"/>
  <c r="O51" i="3" s="1"/>
  <c r="N50" i="3"/>
  <c r="M50" i="3"/>
  <c r="L50" i="3"/>
  <c r="K50" i="3"/>
  <c r="J50" i="3"/>
  <c r="I50" i="3"/>
  <c r="H50" i="3"/>
  <c r="G50" i="3"/>
  <c r="F50" i="3"/>
  <c r="E50" i="3"/>
  <c r="D50" i="3"/>
  <c r="C50" i="3"/>
  <c r="O50" i="3" s="1"/>
  <c r="N49" i="3"/>
  <c r="M49" i="3"/>
  <c r="L49" i="3"/>
  <c r="K49" i="3"/>
  <c r="J49" i="3"/>
  <c r="I49" i="3"/>
  <c r="H49" i="3"/>
  <c r="G49" i="3"/>
  <c r="F49" i="3"/>
  <c r="E49" i="3"/>
  <c r="D49" i="3"/>
  <c r="C49" i="3"/>
  <c r="O49" i="3" s="1"/>
  <c r="N48" i="3"/>
  <c r="M48" i="3"/>
  <c r="L48" i="3"/>
  <c r="K48" i="3"/>
  <c r="J48" i="3"/>
  <c r="I48" i="3"/>
  <c r="H48" i="3"/>
  <c r="G48" i="3"/>
  <c r="F48" i="3"/>
  <c r="E48" i="3"/>
  <c r="D48" i="3"/>
  <c r="C48" i="3"/>
  <c r="O48" i="3" s="1"/>
  <c r="N47" i="3"/>
  <c r="M47" i="3"/>
  <c r="L47" i="3"/>
  <c r="K47" i="3"/>
  <c r="J47" i="3"/>
  <c r="I47" i="3"/>
  <c r="H47" i="3"/>
  <c r="G47" i="3"/>
  <c r="F47" i="3"/>
  <c r="E47" i="3"/>
  <c r="D47" i="3"/>
  <c r="C47" i="3"/>
  <c r="O47" i="3" s="1"/>
  <c r="N46" i="3"/>
  <c r="M46" i="3"/>
  <c r="L46" i="3"/>
  <c r="K46" i="3"/>
  <c r="J46" i="3"/>
  <c r="I46" i="3"/>
  <c r="H46" i="3"/>
  <c r="G46" i="3"/>
  <c r="F46" i="3"/>
  <c r="E46" i="3"/>
  <c r="D46" i="3"/>
  <c r="C46" i="3"/>
  <c r="O46" i="3" s="1"/>
  <c r="N45" i="3"/>
  <c r="M45" i="3"/>
  <c r="L45" i="3"/>
  <c r="K45" i="3"/>
  <c r="J45" i="3"/>
  <c r="I45" i="3"/>
  <c r="H45" i="3"/>
  <c r="G45" i="3"/>
  <c r="F45" i="3"/>
  <c r="E45" i="3"/>
  <c r="D45" i="3"/>
  <c r="C45" i="3"/>
  <c r="O45" i="3" s="1"/>
  <c r="N44" i="3"/>
  <c r="M44" i="3"/>
  <c r="L44" i="3"/>
  <c r="K44" i="3"/>
  <c r="J44" i="3"/>
  <c r="I44" i="3"/>
  <c r="H44" i="3"/>
  <c r="G44" i="3"/>
  <c r="F44" i="3"/>
  <c r="E44" i="3"/>
  <c r="D44" i="3"/>
  <c r="C44" i="3"/>
  <c r="O44" i="3" s="1"/>
  <c r="N43" i="3"/>
  <c r="M43" i="3"/>
  <c r="L43" i="3"/>
  <c r="K43" i="3"/>
  <c r="J43" i="3"/>
  <c r="I43" i="3"/>
  <c r="H43" i="3"/>
  <c r="G43" i="3"/>
  <c r="F43" i="3"/>
  <c r="E43" i="3"/>
  <c r="D43" i="3"/>
  <c r="C43" i="3"/>
  <c r="O43" i="3" s="1"/>
  <c r="N42" i="3"/>
  <c r="M42" i="3"/>
  <c r="L42" i="3"/>
  <c r="K42" i="3"/>
  <c r="J42" i="3"/>
  <c r="I42" i="3"/>
  <c r="H42" i="3"/>
  <c r="G42" i="3"/>
  <c r="F42" i="3"/>
  <c r="E42" i="3"/>
  <c r="D42" i="3"/>
  <c r="C42" i="3"/>
  <c r="O42" i="3" s="1"/>
  <c r="N41" i="3"/>
  <c r="M41" i="3"/>
  <c r="L41" i="3"/>
  <c r="K41" i="3"/>
  <c r="J41" i="3"/>
  <c r="I41" i="3"/>
  <c r="H41" i="3"/>
  <c r="G41" i="3"/>
  <c r="F41" i="3"/>
  <c r="E41" i="3"/>
  <c r="D41" i="3"/>
  <c r="C41" i="3"/>
  <c r="O41" i="3" s="1"/>
  <c r="N40" i="3"/>
  <c r="M40" i="3"/>
  <c r="L40" i="3"/>
  <c r="K40" i="3"/>
  <c r="J40" i="3"/>
  <c r="I40" i="3"/>
  <c r="H40" i="3"/>
  <c r="G40" i="3"/>
  <c r="F40" i="3"/>
  <c r="E40" i="3"/>
  <c r="D40" i="3"/>
  <c r="C40" i="3"/>
  <c r="O40" i="3" s="1"/>
  <c r="N39" i="3"/>
  <c r="M39" i="3"/>
  <c r="L39" i="3"/>
  <c r="K39" i="3"/>
  <c r="J39" i="3"/>
  <c r="I39" i="3"/>
  <c r="H39" i="3"/>
  <c r="G39" i="3"/>
  <c r="F39" i="3"/>
  <c r="E39" i="3"/>
  <c r="D39" i="3"/>
  <c r="C39" i="3"/>
  <c r="O39" i="3" s="1"/>
  <c r="N38" i="3"/>
  <c r="N52" i="3" s="1"/>
  <c r="M38" i="3"/>
  <c r="M52" i="3" s="1"/>
  <c r="L38" i="3"/>
  <c r="L52" i="3" s="1"/>
  <c r="K38" i="3"/>
  <c r="K52" i="3" s="1"/>
  <c r="J38" i="3"/>
  <c r="I38" i="3"/>
  <c r="I52" i="3" s="1"/>
  <c r="H38" i="3"/>
  <c r="H52" i="3" s="1"/>
  <c r="G38" i="3"/>
  <c r="G52" i="3" s="1"/>
  <c r="F38" i="3"/>
  <c r="F52" i="3" s="1"/>
  <c r="E38" i="3"/>
  <c r="E52" i="3" s="1"/>
  <c r="D38" i="3"/>
  <c r="D52" i="3" s="1"/>
  <c r="C38" i="3"/>
  <c r="N33" i="3"/>
  <c r="M33" i="3"/>
  <c r="L33" i="3"/>
  <c r="K33" i="3"/>
  <c r="J33" i="3"/>
  <c r="D8" i="2" s="1"/>
  <c r="I33" i="3"/>
  <c r="H33" i="3"/>
  <c r="G33" i="3"/>
  <c r="F33" i="3"/>
  <c r="E33" i="3"/>
  <c r="D33" i="3"/>
  <c r="C33" i="3"/>
  <c r="O33" i="3" s="1"/>
  <c r="N32" i="3"/>
  <c r="M32" i="3"/>
  <c r="L32" i="3"/>
  <c r="K32" i="3"/>
  <c r="J32" i="3"/>
  <c r="D7" i="2" s="1"/>
  <c r="I32" i="3"/>
  <c r="H32" i="3"/>
  <c r="G32" i="3"/>
  <c r="F32" i="3"/>
  <c r="E32" i="3"/>
  <c r="D32" i="3"/>
  <c r="C32" i="3"/>
  <c r="O32" i="3" s="1"/>
  <c r="N31" i="3"/>
  <c r="M31" i="3"/>
  <c r="L31" i="3"/>
  <c r="K31" i="3"/>
  <c r="J31" i="3"/>
  <c r="D6" i="2" s="1"/>
  <c r="I31" i="3"/>
  <c r="H31" i="3"/>
  <c r="G31" i="3"/>
  <c r="F31" i="3"/>
  <c r="E31" i="3"/>
  <c r="D31" i="3"/>
  <c r="C31" i="3"/>
  <c r="O31" i="3" s="1"/>
  <c r="N30" i="3"/>
  <c r="M30" i="3"/>
  <c r="L30" i="3"/>
  <c r="K30" i="3"/>
  <c r="J30" i="3"/>
  <c r="D5" i="2" s="1"/>
  <c r="I30" i="3"/>
  <c r="H30" i="3"/>
  <c r="G30" i="3"/>
  <c r="F30" i="3"/>
  <c r="E30" i="3"/>
  <c r="D30" i="3"/>
  <c r="C30" i="3"/>
  <c r="O30" i="3" s="1"/>
  <c r="N29" i="3"/>
  <c r="M29" i="3"/>
  <c r="L29" i="3"/>
  <c r="K29" i="3"/>
  <c r="J29" i="3"/>
  <c r="D4" i="2" s="1"/>
  <c r="I29" i="3"/>
  <c r="H29" i="3"/>
  <c r="G29" i="3"/>
  <c r="F29" i="3"/>
  <c r="E29" i="3"/>
  <c r="D29" i="3"/>
  <c r="C29" i="3"/>
  <c r="O29" i="3" s="1"/>
  <c r="N28" i="3"/>
  <c r="N34" i="3" s="1"/>
  <c r="M28" i="3"/>
  <c r="M34" i="3" s="1"/>
  <c r="L28" i="3"/>
  <c r="L34" i="3" s="1"/>
  <c r="K28" i="3"/>
  <c r="K34" i="3" s="1"/>
  <c r="J28" i="3"/>
  <c r="I28" i="3"/>
  <c r="I34" i="3" s="1"/>
  <c r="H28" i="3"/>
  <c r="H34" i="3" s="1"/>
  <c r="G28" i="3"/>
  <c r="G34" i="3" s="1"/>
  <c r="F28" i="3"/>
  <c r="F34" i="3" s="1"/>
  <c r="E28" i="3"/>
  <c r="E34" i="3" s="1"/>
  <c r="D28" i="3"/>
  <c r="D34" i="3" s="1"/>
  <c r="C28" i="3"/>
  <c r="N24" i="3"/>
  <c r="M24" i="3"/>
  <c r="L24" i="3"/>
  <c r="K24" i="3"/>
  <c r="I24" i="3"/>
  <c r="H24" i="3"/>
  <c r="G24" i="3"/>
  <c r="F24" i="3"/>
  <c r="E24" i="3"/>
  <c r="D24" i="3"/>
  <c r="M5" i="3"/>
  <c r="E5" i="3"/>
  <c r="B5" i="3"/>
  <c r="D15" i="4" l="1"/>
  <c r="D14" i="4"/>
  <c r="C34" i="3"/>
  <c r="O28" i="3"/>
  <c r="D3" i="2"/>
  <c r="J34" i="3"/>
  <c r="C52" i="3"/>
  <c r="F7" i="4" s="1"/>
  <c r="O38" i="3"/>
  <c r="J52" i="3"/>
  <c r="E2" i="2" s="1"/>
  <c r="E6" i="3" s="1"/>
  <c r="D8" i="4"/>
  <c r="D7" i="4"/>
  <c r="D6" i="4"/>
  <c r="O52" i="3" l="1"/>
  <c r="P38" i="3"/>
  <c r="D2" i="2"/>
  <c r="B6" i="3" s="1"/>
  <c r="J24" i="3"/>
  <c r="F2" i="2" s="1"/>
  <c r="M6" i="3" s="1"/>
  <c r="O34" i="3"/>
  <c r="P28" i="3"/>
  <c r="F6" i="4"/>
  <c r="C24" i="3"/>
  <c r="E8" i="4" l="1"/>
  <c r="F8" i="4" s="1"/>
  <c r="N25" i="3"/>
  <c r="M25" i="3"/>
  <c r="L25" i="3"/>
  <c r="K25" i="3"/>
  <c r="J25" i="3"/>
  <c r="G2" i="2" s="1"/>
  <c r="I25" i="3"/>
  <c r="H25" i="3"/>
  <c r="G25" i="3"/>
  <c r="F25" i="3"/>
  <c r="E25" i="3"/>
  <c r="D25" i="3"/>
  <c r="C25" i="3"/>
  <c r="O24" i="3"/>
  <c r="P24" i="3" s="1"/>
  <c r="D19" i="4"/>
  <c r="P29" i="3"/>
  <c r="P30" i="3"/>
  <c r="D21" i="4" s="1"/>
  <c r="P31" i="3"/>
  <c r="D22" i="4" s="1"/>
  <c r="P32" i="3"/>
  <c r="D23" i="4" s="1"/>
  <c r="P33" i="3"/>
  <c r="P39" i="3"/>
  <c r="P40" i="3"/>
  <c r="P41" i="3"/>
  <c r="P42" i="3"/>
  <c r="P43" i="3"/>
  <c r="P44" i="3"/>
  <c r="P45" i="3"/>
  <c r="P46" i="3"/>
  <c r="P47" i="3"/>
  <c r="P48" i="3"/>
  <c r="P49" i="3"/>
  <c r="P50" i="3"/>
  <c r="P51" i="3"/>
  <c r="P52" i="3" l="1"/>
  <c r="D20" i="4"/>
  <c r="P34" i="3"/>
</calcChain>
</file>

<file path=xl/sharedStrings.xml><?xml version="1.0" encoding="utf-8"?>
<sst xmlns="http://schemas.openxmlformats.org/spreadsheetml/2006/main" count="194" uniqueCount="114">
  <si>
    <t>Avg Service Fees</t>
  </si>
  <si>
    <t>Exams</t>
  </si>
  <si>
    <t>Vaccinations</t>
  </si>
  <si>
    <t>Surgeries &amp; procedures</t>
  </si>
  <si>
    <t>Diagnostics - blood tests, x-rays, etc.</t>
  </si>
  <si>
    <t>Boarding</t>
  </si>
  <si>
    <t>Retail items</t>
  </si>
  <si>
    <t xml:space="preserve"> </t>
  </si>
  <si>
    <t># of Services Projected</t>
  </si>
  <si>
    <t>Jan</t>
  </si>
  <si>
    <t>Feb</t>
  </si>
  <si>
    <t>Mar</t>
  </si>
  <si>
    <t>Apr</t>
  </si>
  <si>
    <t>May</t>
  </si>
  <si>
    <t>Jun</t>
  </si>
  <si>
    <t>Jul</t>
  </si>
  <si>
    <t>Aug</t>
  </si>
  <si>
    <t>Sep</t>
  </si>
  <si>
    <t>Oct</t>
  </si>
  <si>
    <t>Nov</t>
  </si>
  <si>
    <t>Dec</t>
  </si>
  <si>
    <t>Expected Costs</t>
  </si>
  <si>
    <r>
      <rPr>
        <sz val="10"/>
        <color rgb="FF595959"/>
        <rFont val="Trebuchet MS"/>
      </rPr>
      <t>Cost of Goods Sold</t>
    </r>
    <r>
      <rPr>
        <vertAlign val="superscript"/>
        <sz val="10"/>
        <color rgb="FFFF0000"/>
        <rFont val="Trebuchet MS"/>
      </rPr>
      <t>8</t>
    </r>
  </si>
  <si>
    <r>
      <rPr>
        <sz val="10"/>
        <color rgb="FF595959"/>
        <rFont val="Trebuchet MS"/>
      </rPr>
      <t>Labor</t>
    </r>
    <r>
      <rPr>
        <vertAlign val="superscript"/>
        <sz val="10"/>
        <color rgb="FFFF0000"/>
        <rFont val="Trebuchet MS"/>
      </rPr>
      <t>6</t>
    </r>
  </si>
  <si>
    <r>
      <rPr>
        <sz val="10"/>
        <color theme="3" tint="0.34977263710440382"/>
        <rFont val="Trebuchet MS"/>
        <charset val="1"/>
      </rPr>
      <t>Payroll taxes</t>
    </r>
    <r>
      <rPr>
        <vertAlign val="superscript"/>
        <sz val="10"/>
        <color rgb="FFFF0000"/>
        <rFont val="Trebuchet MS"/>
        <charset val="1"/>
      </rPr>
      <t>7</t>
    </r>
  </si>
  <si>
    <r>
      <rPr>
        <sz val="10"/>
        <color theme="3" tint="0.34977263710440382"/>
        <rFont val="Trebuchet MS"/>
        <charset val="1"/>
      </rPr>
      <t>Medical supplies</t>
    </r>
    <r>
      <rPr>
        <vertAlign val="superscript"/>
        <sz val="10"/>
        <color rgb="FFFF0000"/>
        <rFont val="Trebuchet MS"/>
        <charset val="1"/>
      </rPr>
      <t>1</t>
    </r>
  </si>
  <si>
    <t>Rent</t>
  </si>
  <si>
    <r>
      <rPr>
        <sz val="10"/>
        <color rgb="FF595959"/>
        <rFont val="Trebuchet MS"/>
      </rPr>
      <t>Utilities – electric, water, sewer, natural gas.</t>
    </r>
    <r>
      <rPr>
        <vertAlign val="superscript"/>
        <sz val="10"/>
        <color rgb="FFFF0000"/>
        <rFont val="Trebuchet MS"/>
      </rPr>
      <t>5</t>
    </r>
  </si>
  <si>
    <r>
      <rPr>
        <sz val="10"/>
        <color theme="3" tint="0.34977263710440382"/>
        <rFont val="Trebuchet MS"/>
        <charset val="1"/>
      </rPr>
      <t>Insurance</t>
    </r>
    <r>
      <rPr>
        <vertAlign val="superscript"/>
        <sz val="10"/>
        <color rgb="FFFF0000"/>
        <rFont val="Trebuchet MS"/>
        <charset val="1"/>
      </rPr>
      <t>2</t>
    </r>
  </si>
  <si>
    <r>
      <rPr>
        <sz val="10"/>
        <color theme="3" tint="0.34977263710440382"/>
        <rFont val="Trebuchet MS"/>
        <charset val="1"/>
      </rPr>
      <t>Marketing</t>
    </r>
    <r>
      <rPr>
        <vertAlign val="superscript"/>
        <sz val="10"/>
        <color rgb="FFFF0000"/>
        <rFont val="Trebuchet MS"/>
        <charset val="1"/>
      </rPr>
      <t>3</t>
    </r>
  </si>
  <si>
    <r>
      <rPr>
        <sz val="10"/>
        <color theme="3" tint="0.34977263710440382"/>
        <rFont val="Trebuchet MS"/>
        <charset val="1"/>
      </rPr>
      <t>Office supplies</t>
    </r>
    <r>
      <rPr>
        <vertAlign val="superscript"/>
        <sz val="10"/>
        <color theme="3" tint="0.34977263710440382"/>
        <rFont val="Trebuchet MS"/>
        <charset val="1"/>
      </rPr>
      <t>1</t>
    </r>
  </si>
  <si>
    <t>Licenses</t>
  </si>
  <si>
    <r>
      <rPr>
        <sz val="10"/>
        <color theme="3" tint="0.34977263710440382"/>
        <rFont val="Trebuchet MS"/>
        <charset val="1"/>
      </rPr>
      <t>Software subscriptions</t>
    </r>
    <r>
      <rPr>
        <vertAlign val="superscript"/>
        <sz val="10"/>
        <color rgb="FFFF0000"/>
        <rFont val="Trebuchet MS"/>
        <charset val="1"/>
      </rPr>
      <t>4</t>
    </r>
  </si>
  <si>
    <t>Cleaning service</t>
  </si>
  <si>
    <t>Internet</t>
  </si>
  <si>
    <t>Phone</t>
  </si>
  <si>
    <t>Equipment depreciation</t>
  </si>
  <si>
    <r>
      <rPr>
        <i/>
        <vertAlign val="superscript"/>
        <sz val="10"/>
        <color rgb="FFFF0000"/>
        <rFont val="Trebuchet MS"/>
        <charset val="1"/>
      </rPr>
      <t>1</t>
    </r>
    <r>
      <rPr>
        <i/>
        <sz val="10"/>
        <color theme="3" tint="0.34977263710440382"/>
        <rFont val="Trebuchet MS"/>
        <charset val="1"/>
      </rPr>
      <t xml:space="preserve"> took avg of last 3 years for each month.</t>
    </r>
  </si>
  <si>
    <r>
      <rPr>
        <vertAlign val="superscript"/>
        <sz val="10"/>
        <color rgb="FFFF0000"/>
        <rFont val="Trebuchet MS"/>
        <charset val="1"/>
      </rPr>
      <t>2</t>
    </r>
    <r>
      <rPr>
        <sz val="10"/>
        <color theme="3" tint="0.34977263710440382"/>
        <rFont val="Trebuchet MS"/>
        <charset val="1"/>
      </rPr>
      <t xml:space="preserve"> insurance is paid 6 months at a time. It has been showing an upward trend.</t>
    </r>
  </si>
  <si>
    <r>
      <rPr>
        <vertAlign val="superscript"/>
        <sz val="10"/>
        <color rgb="FFFF0000"/>
        <rFont val="Trebuchet MS"/>
      </rPr>
      <t>3</t>
    </r>
    <r>
      <rPr>
        <sz val="10"/>
        <color rgb="FF595959"/>
        <rFont val="Trebuchet MS"/>
      </rPr>
      <t xml:space="preserve"> pays a marketing agency a set monthly amount.</t>
    </r>
  </si>
  <si>
    <r>
      <rPr>
        <vertAlign val="superscript"/>
        <sz val="10"/>
        <color rgb="FFFF0000"/>
        <rFont val="Trebuchet MS"/>
        <charset val="1"/>
      </rPr>
      <t>4</t>
    </r>
    <r>
      <rPr>
        <sz val="10"/>
        <color theme="3" tint="0.34977263710440382"/>
        <rFont val="Trebuchet MS"/>
        <charset val="1"/>
      </rPr>
      <t xml:space="preserve"> $80 per month for monthly subscriptions. 2 are paid annually.</t>
    </r>
  </si>
  <si>
    <r>
      <rPr>
        <vertAlign val="superscript"/>
        <sz val="10"/>
        <color rgb="FFFF0000"/>
        <rFont val="Trebuchet MS"/>
        <charset val="1"/>
      </rPr>
      <t>5</t>
    </r>
    <r>
      <rPr>
        <sz val="10"/>
        <color theme="3" tint="0.34977263710440382"/>
        <rFont val="Trebuchet MS"/>
        <charset val="1"/>
      </rPr>
      <t xml:space="preserve"> took last year’s monthly costs and factored in rate increases.</t>
    </r>
  </si>
  <si>
    <r>
      <rPr>
        <vertAlign val="superscript"/>
        <sz val="10"/>
        <color rgb="FFFF0000"/>
        <rFont val="Trebuchet MS"/>
        <charset val="1"/>
      </rPr>
      <t>6</t>
    </r>
    <r>
      <rPr>
        <sz val="10"/>
        <color theme="3" tint="0.34977263710440382"/>
        <rFont val="Trebuchet MS"/>
        <charset val="1"/>
      </rPr>
      <t xml:space="preserve"> used avg monthly wages.</t>
    </r>
  </si>
  <si>
    <r>
      <rPr>
        <vertAlign val="superscript"/>
        <sz val="10"/>
        <color rgb="FFFF0000"/>
        <rFont val="Trebuchet MS"/>
        <charset val="1"/>
      </rPr>
      <t>7</t>
    </r>
    <r>
      <rPr>
        <sz val="10"/>
        <color theme="3" tint="0.34977263710440382"/>
        <rFont val="Trebuchet MS"/>
        <charset val="1"/>
      </rPr>
      <t xml:space="preserve"> used avg percentage of labor.</t>
    </r>
  </si>
  <si>
    <r>
      <rPr>
        <vertAlign val="superscript"/>
        <sz val="10"/>
        <color rgb="FFFF0000"/>
        <rFont val="Trebuchet MS"/>
      </rPr>
      <t>8</t>
    </r>
    <r>
      <rPr>
        <sz val="10"/>
        <color rgb="FF595959"/>
        <rFont val="Trebuchet MS"/>
      </rPr>
      <t xml:space="preserve"> figured at avg percentage of sales - 60%.</t>
    </r>
  </si>
  <si>
    <t>Salaries &amp; Wages</t>
  </si>
  <si>
    <t>Title</t>
  </si>
  <si>
    <t>Monthly Salary</t>
  </si>
  <si>
    <t>Hourly Wage</t>
  </si>
  <si>
    <t>Avg Monthly Hrs</t>
  </si>
  <si>
    <t>Total</t>
  </si>
  <si>
    <t>Tom</t>
  </si>
  <si>
    <t>Veterinarian</t>
  </si>
  <si>
    <t>Victoria</t>
  </si>
  <si>
    <t>Terri</t>
  </si>
  <si>
    <t>Sr. Vet Tech</t>
  </si>
  <si>
    <t>Kristie</t>
  </si>
  <si>
    <t>Vet Tech</t>
  </si>
  <si>
    <t>Jennifer</t>
  </si>
  <si>
    <t>Receptionist</t>
  </si>
  <si>
    <t>Month</t>
  </si>
  <si>
    <t>Income Category</t>
  </si>
  <si>
    <t>Expense Category</t>
  </si>
  <si>
    <t>Income</t>
  </si>
  <si>
    <t>Expenses</t>
  </si>
  <si>
    <t>Profit</t>
  </si>
  <si>
    <t>Cumulative</t>
  </si>
  <si>
    <t>Exam services</t>
  </si>
  <si>
    <t>Cost of Goods Sold</t>
  </si>
  <si>
    <t>Labor</t>
  </si>
  <si>
    <t>Payroll taxes</t>
  </si>
  <si>
    <t>Diagnostics</t>
  </si>
  <si>
    <t>Medical supplies</t>
  </si>
  <si>
    <t>Retail sales</t>
  </si>
  <si>
    <t>Utilities</t>
  </si>
  <si>
    <t>Insurance</t>
  </si>
  <si>
    <t>Marketing</t>
  </si>
  <si>
    <t>Office supplies</t>
  </si>
  <si>
    <t>Software subscriptions</t>
  </si>
  <si>
    <t>2026 Forecast</t>
  </si>
  <si>
    <t>Pawsitive Vet Care</t>
  </si>
  <si>
    <t>Select Month</t>
  </si>
  <si>
    <t>JUL</t>
  </si>
  <si>
    <t>Monthly Profit</t>
  </si>
  <si>
    <t>JAN</t>
  </si>
  <si>
    <t>FEB</t>
  </si>
  <si>
    <t>MAR</t>
  </si>
  <si>
    <t>APR</t>
  </si>
  <si>
    <t>MAY</t>
  </si>
  <si>
    <t>JUN</t>
  </si>
  <si>
    <t>AUG</t>
  </si>
  <si>
    <t>SEP</t>
  </si>
  <si>
    <t>OCT</t>
  </si>
  <si>
    <t>NOV</t>
  </si>
  <si>
    <t>DEC</t>
  </si>
  <si>
    <t xml:space="preserve">YEAR  </t>
  </si>
  <si>
    <t xml:space="preserve">% INC </t>
  </si>
  <si>
    <t>Cumulative profit</t>
  </si>
  <si>
    <t>MONTHLY INCOME</t>
  </si>
  <si>
    <t>TOTAL INCOME</t>
  </si>
  <si>
    <t>MONTHLY EXPENSES</t>
  </si>
  <si>
    <t xml:space="preserve">% EXP </t>
  </si>
  <si>
    <t>TOTAL EXPENSES</t>
  </si>
  <si>
    <t>***This sheet should remain HIDDEN***</t>
  </si>
  <si>
    <t>Dynamic Chart Titles</t>
  </si>
  <si>
    <t xml:space="preserve">Scroll Bar Value: </t>
  </si>
  <si>
    <t xml:space="preserve">Cash Flow Chart: </t>
  </si>
  <si>
    <t xml:space="preserve">Cumulative: </t>
  </si>
  <si>
    <t>INCOME CHART DATA</t>
  </si>
  <si>
    <t>Financial aid (grants, scholarships, loans) paid to you</t>
  </si>
  <si>
    <t>After tax wages from a job</t>
  </si>
  <si>
    <t>Financial help from family</t>
  </si>
  <si>
    <t>Withdrawals from savings</t>
  </si>
  <si>
    <t>Other (child support, public assistance, gifts,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</si>
</sst>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_);_(@_)"/>
    <numFmt numFmtId="165" formatCode="mmm"/>
    <numFmt numFmtId="166" formatCode="0.0%;\(0.0%\)"/>
    <numFmt numFmtId="167" formatCode="#,##0_);[Red]\(#,##0\);&quot;-  &quot;"/>
    <numFmt numFmtId="168" formatCode="0.0%"/>
  </numFmts>
  <fonts count="32">
    <font>
      <sz val="10"/>
      <color theme="3" tint="0.34977263710440382"/>
      <name val="Trebuchet MS"/>
      <charset val="1"/>
    </font>
    <font>
      <b/>
      <sz val="18"/>
      <color theme="0"/>
      <name val="Arial"/>
      <charset val="1"/>
    </font>
    <font>
      <sz val="14"/>
      <color theme="1" tint="0.49977111117893003"/>
      <name val="Trebuchet MS"/>
      <charset val="1"/>
    </font>
    <font>
      <b/>
      <sz val="10"/>
      <color theme="3" tint="0.34977263710440382"/>
      <name val="Trebuchet MS"/>
      <charset val="1"/>
    </font>
    <font>
      <b/>
      <sz val="14"/>
      <color theme="0"/>
      <name val="Arial"/>
      <charset val="1"/>
    </font>
    <font>
      <vertAlign val="superscript"/>
      <sz val="10"/>
      <color rgb="FFFF0000"/>
      <name val="Trebuchet MS"/>
      <charset val="1"/>
    </font>
    <font>
      <vertAlign val="superscript"/>
      <sz val="10"/>
      <color theme="3" tint="0.34977263710440382"/>
      <name val="Trebuchet MS"/>
      <charset val="1"/>
    </font>
    <font>
      <i/>
      <vertAlign val="superscript"/>
      <sz val="10"/>
      <color rgb="FFFF0000"/>
      <name val="Trebuchet MS"/>
      <charset val="1"/>
    </font>
    <font>
      <i/>
      <sz val="10"/>
      <color theme="3" tint="0.34977263710440382"/>
      <name val="Trebuchet MS"/>
      <charset val="1"/>
    </font>
    <font>
      <b/>
      <sz val="12"/>
      <color theme="0"/>
      <name val="Arial"/>
      <charset val="1"/>
    </font>
    <font>
      <sz val="10"/>
      <color theme="0"/>
      <name val="Trebuchet MS"/>
      <charset val="1"/>
    </font>
    <font>
      <sz val="10"/>
      <color rgb="FF363636"/>
      <name val="Poppins"/>
      <charset val="1"/>
    </font>
    <font>
      <sz val="9"/>
      <color theme="0"/>
      <name val="Trebuchet MS"/>
      <charset val="1"/>
    </font>
    <font>
      <sz val="9"/>
      <color theme="1" tint="0.34977263710440382"/>
      <name val="Trebuchet MS"/>
      <charset val="1"/>
    </font>
    <font>
      <b/>
      <sz val="42"/>
      <color theme="4" tint="-0.499984740745262"/>
      <name val="Cambria"/>
      <charset val="1"/>
    </font>
    <font>
      <sz val="14"/>
      <color theme="1" tint="0.34977263710440382"/>
      <name val="Trebuchet MS"/>
      <charset val="1"/>
    </font>
    <font>
      <sz val="11"/>
      <color theme="1" tint="0.34977263710440382"/>
      <name val="Trebuchet MS"/>
      <charset val="1"/>
    </font>
    <font>
      <b/>
      <sz val="15"/>
      <color theme="0"/>
      <name val="Cambria"/>
      <charset val="1"/>
    </font>
    <font>
      <sz val="11"/>
      <color theme="0"/>
      <name val="Calibri"/>
      <charset val="1"/>
    </font>
    <font>
      <sz val="30"/>
      <color theme="1" tint="0.34977263710440382"/>
      <name val="Trebuchet MS"/>
      <charset val="1"/>
    </font>
    <font>
      <sz val="30"/>
      <color theme="1" tint="0.49977111117893003"/>
      <name val="Trebuchet MS"/>
      <charset val="1"/>
    </font>
    <font>
      <b/>
      <sz val="15"/>
      <color theme="4" tint="-0.499984740745262"/>
      <name val="Cambria"/>
      <charset val="1"/>
    </font>
    <font>
      <b/>
      <sz val="10.5"/>
      <color theme="4" tint="-0.499984740745262"/>
      <name val="Cambria"/>
      <charset val="1"/>
    </font>
    <font>
      <sz val="10"/>
      <color theme="1" tint="0.34977263710440382"/>
      <name val="Trebuchet MS"/>
      <charset val="1"/>
    </font>
    <font>
      <b/>
      <sz val="10"/>
      <color theme="4" tint="-0.499984740745262"/>
      <name val="Cambria"/>
      <charset val="1"/>
    </font>
    <font>
      <sz val="10"/>
      <color theme="5" tint="-0.499984740745262"/>
      <name val="Trebuchet MS"/>
      <charset val="1"/>
    </font>
    <font>
      <b/>
      <sz val="10"/>
      <color theme="4" tint="-0.499984740745262"/>
      <name val="Trebuchet MS"/>
      <charset val="1"/>
    </font>
    <font>
      <b/>
      <sz val="10"/>
      <color theme="5" tint="-0.499984740745262"/>
      <name val="Trebuchet MS"/>
      <charset val="1"/>
    </font>
    <font>
      <sz val="10"/>
      <color theme="3" tint="0.34977263710440382"/>
      <name val="Trebuchet MS"/>
      <charset val="1"/>
    </font>
    <font>
      <sz val="10"/>
      <color rgb="FF595959"/>
      <name val="Trebuchet MS"/>
    </font>
    <font>
      <vertAlign val="superscript"/>
      <sz val="10"/>
      <color rgb="FFFF0000"/>
      <name val="Trebuchet MS"/>
    </font>
    <font>
      <sz val="10"/>
      <color theme="3" tint="0.34977263710440382"/>
      <name val="Trebuchet MS"/>
    </font>
  </fonts>
  <fills count="7">
    <fill>
      <patternFill patternType="none"/>
    </fill>
    <fill>
      <patternFill patternType="gray125"/>
    </fill>
    <fill>
      <patternFill patternType="solid">
        <fgColor theme="4" tint="-0.499984740745262"/>
        <bgColor rgb="FF008080"/>
      </patternFill>
    </fill>
    <fill>
      <patternFill patternType="solid">
        <fgColor theme="6" tint="0.59978026673177287"/>
        <bgColor rgb="FFD9D9D9"/>
      </patternFill>
    </fill>
    <fill>
      <patternFill patternType="solid">
        <fgColor rgb="FF794D08"/>
        <bgColor rgb="FF595959"/>
      </patternFill>
    </fill>
    <fill>
      <patternFill patternType="solid">
        <fgColor rgb="FFFED99D"/>
        <bgColor rgb="FFD9D9D9"/>
      </patternFill>
    </fill>
    <fill>
      <patternFill patternType="solid">
        <fgColor theme="0" tint="-4.9989318521683403E-2"/>
        <bgColor rgb="FFFFFFFF"/>
      </patternFill>
    </fill>
  </fills>
  <borders count="17">
    <border>
      <left/>
      <right/>
      <top/>
      <bottom/>
      <diagonal/>
    </border>
    <border>
      <left style="thin">
        <color theme="1"/>
      </left>
      <right style="thin">
        <color theme="1"/>
      </right>
      <top style="thin">
        <color theme="1"/>
      </top>
      <bottom style="thin">
        <color theme="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double">
        <color theme="0" tint="-0.14999847407452621"/>
      </bottom>
      <diagonal/>
    </border>
    <border>
      <left/>
      <right/>
      <top style="medium">
        <color rgb="FFFFFFFF"/>
      </top>
      <bottom/>
      <diagonal/>
    </border>
    <border>
      <left/>
      <right/>
      <top/>
      <bottom style="thick">
        <color theme="0" tint="-0.14999847407452621"/>
      </bottom>
      <diagonal/>
    </border>
    <border>
      <left style="thin">
        <color theme="0"/>
      </left>
      <right/>
      <top style="thick">
        <color theme="0" tint="-0.14999847407452621"/>
      </top>
      <bottom style="thin">
        <color theme="0"/>
      </bottom>
      <diagonal/>
    </border>
    <border>
      <left/>
      <right/>
      <top style="thick">
        <color theme="0" tint="-0.14999847407452621"/>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bottom style="thin">
        <color theme="4"/>
      </bottom>
      <diagonal/>
    </border>
    <border>
      <left/>
      <right/>
      <top style="double">
        <color theme="0" tint="-0.14999847407452621"/>
      </top>
      <bottom style="thin">
        <color theme="5" tint="-0.499984740745262"/>
      </bottom>
      <diagonal/>
    </border>
    <border>
      <left/>
      <right/>
      <top/>
      <bottom style="thin">
        <color theme="0"/>
      </bottom>
      <diagonal/>
    </border>
    <border>
      <left/>
      <right/>
      <top/>
      <bottom style="thin">
        <color rgb="FF794D08"/>
      </bottom>
      <diagonal/>
    </border>
    <border>
      <left/>
      <right/>
      <top/>
      <bottom style="thin">
        <color theme="4" tint="-0.499984740745262"/>
      </bottom>
      <diagonal/>
    </border>
    <border>
      <left/>
      <right/>
      <top/>
      <bottom style="thin">
        <color auto="1"/>
      </bottom>
      <diagonal/>
    </border>
  </borders>
  <cellStyleXfs count="4">
    <xf numFmtId="0" fontId="0" fillId="0" borderId="0"/>
    <xf numFmtId="164" fontId="28" fillId="0" borderId="0" applyBorder="0"/>
    <xf numFmtId="0" fontId="2" fillId="0" borderId="0" applyBorder="0" applyProtection="0"/>
    <xf numFmtId="0" fontId="20" fillId="0" borderId="0" applyBorder="0" applyProtection="0"/>
  </cellStyleXfs>
  <cellXfs count="81">
    <xf numFmtId="0" fontId="0" fillId="0" borderId="0" xfId="0"/>
    <xf numFmtId="0" fontId="0" fillId="0" borderId="0" xfId="0" applyAlignment="1" applyProtection="1"/>
    <xf numFmtId="0" fontId="0" fillId="0" borderId="1" xfId="0" applyFont="1" applyBorder="1" applyAlignment="1" applyProtection="1">
      <alignment wrapText="1"/>
    </xf>
    <xf numFmtId="164" fontId="3" fillId="3" borderId="1" xfId="1" applyFont="1" applyFill="1" applyBorder="1" applyAlignment="1" applyProtection="1"/>
    <xf numFmtId="0" fontId="0" fillId="0" borderId="0" xfId="0" applyFont="1" applyAlignment="1" applyProtection="1">
      <alignment wrapText="1"/>
    </xf>
    <xf numFmtId="0" fontId="1" fillId="2" borderId="0" xfId="2" applyFont="1" applyFill="1" applyBorder="1" applyAlignment="1" applyProtection="1">
      <alignment horizontal="center" vertical="center" wrapText="1"/>
    </xf>
    <xf numFmtId="0" fontId="4" fillId="2" borderId="0" xfId="2" applyFont="1" applyFill="1" applyBorder="1" applyAlignment="1" applyProtection="1">
      <alignment horizontal="center"/>
    </xf>
    <xf numFmtId="0" fontId="1" fillId="4" borderId="0" xfId="2" applyFont="1" applyFill="1" applyBorder="1" applyAlignment="1" applyProtection="1">
      <alignment horizontal="center"/>
    </xf>
    <xf numFmtId="0" fontId="4" fillId="4" borderId="0" xfId="2" applyFont="1" applyFill="1" applyBorder="1" applyAlignment="1" applyProtection="1">
      <alignment horizontal="center"/>
    </xf>
    <xf numFmtId="164" fontId="3" fillId="5" borderId="1" xfId="1" applyFont="1" applyFill="1" applyBorder="1" applyAlignment="1" applyProtection="1"/>
    <xf numFmtId="0" fontId="7" fillId="0" borderId="0" xfId="0" applyFont="1" applyAlignment="1" applyProtection="1"/>
    <xf numFmtId="0" fontId="5" fillId="0" borderId="0" xfId="0" applyFont="1" applyAlignment="1" applyProtection="1"/>
    <xf numFmtId="0" fontId="9" fillId="4" borderId="0" xfId="2" applyFont="1" applyFill="1" applyBorder="1" applyAlignment="1" applyProtection="1">
      <alignment horizontal="center" wrapText="1"/>
    </xf>
    <xf numFmtId="0" fontId="10" fillId="2" borderId="0" xfId="0" applyFont="1" applyFill="1"/>
    <xf numFmtId="4" fontId="11" fillId="0" borderId="0" xfId="0" applyNumberFormat="1" applyFont="1" applyAlignment="1">
      <alignment wrapText="1"/>
    </xf>
    <xf numFmtId="3" fontId="11" fillId="0" borderId="0" xfId="0" applyNumberFormat="1" applyFont="1" applyAlignment="1">
      <alignment wrapText="1"/>
    </xf>
    <xf numFmtId="0" fontId="0" fillId="0" borderId="0" xfId="0" applyFont="1" applyAlignment="1" applyProtection="1"/>
    <xf numFmtId="0" fontId="0" fillId="0" borderId="2" xfId="0" applyFont="1" applyBorder="1" applyAlignment="1" applyProtection="1"/>
    <xf numFmtId="0" fontId="0" fillId="0" borderId="0" xfId="0" applyFont="1" applyBorder="1" applyAlignment="1" applyProtection="1"/>
    <xf numFmtId="0" fontId="0" fillId="0" borderId="3" xfId="0" applyFont="1" applyBorder="1" applyAlignment="1" applyProtection="1"/>
    <xf numFmtId="0" fontId="0" fillId="0" borderId="0" xfId="0" applyBorder="1"/>
    <xf numFmtId="0" fontId="12" fillId="0" borderId="0" xfId="0" applyFont="1" applyAlignment="1" applyProtection="1">
      <alignment wrapText="1"/>
    </xf>
    <xf numFmtId="0" fontId="13" fillId="0" borderId="0" xfId="0" applyFont="1" applyAlignment="1" applyProtection="1"/>
    <xf numFmtId="0" fontId="12" fillId="0" borderId="0" xfId="0" applyFont="1" applyAlignment="1" applyProtection="1">
      <alignment vertical="center" wrapText="1"/>
    </xf>
    <xf numFmtId="0" fontId="14" fillId="0" borderId="0" xfId="0" applyFont="1" applyAlignment="1" applyProtection="1">
      <alignment horizontal="left"/>
    </xf>
    <xf numFmtId="0" fontId="15" fillId="0" borderId="0" xfId="0" applyFont="1" applyAlignment="1" applyProtection="1"/>
    <xf numFmtId="0" fontId="13" fillId="0" borderId="4" xfId="0" applyFont="1" applyBorder="1" applyAlignment="1" applyProtection="1"/>
    <xf numFmtId="0" fontId="15" fillId="0" borderId="0" xfId="0" applyFont="1" applyAlignment="1" applyProtection="1">
      <alignment horizontal="left" indent="1"/>
    </xf>
    <xf numFmtId="0" fontId="18" fillId="0" borderId="0" xfId="0" applyFont="1" applyAlignment="1" applyProtection="1">
      <alignment vertical="center" wrapText="1"/>
    </xf>
    <xf numFmtId="3" fontId="19" fillId="0" borderId="0" xfId="0" applyNumberFormat="1" applyFont="1" applyAlignment="1" applyProtection="1">
      <alignment horizontal="left"/>
    </xf>
    <xf numFmtId="0" fontId="10" fillId="0" borderId="0" xfId="0" applyFont="1" applyAlignment="1" applyProtection="1">
      <alignment horizontal="center"/>
    </xf>
    <xf numFmtId="0" fontId="12" fillId="0" borderId="0" xfId="0" applyFont="1" applyAlignment="1" applyProtection="1">
      <alignment horizontal="center"/>
    </xf>
    <xf numFmtId="0" fontId="21" fillId="0" borderId="0" xfId="0" applyFont="1" applyAlignment="1" applyProtection="1"/>
    <xf numFmtId="165" fontId="22" fillId="0" borderId="0" xfId="0" applyNumberFormat="1" applyFont="1" applyAlignment="1" applyProtection="1">
      <alignment horizontal="right"/>
    </xf>
    <xf numFmtId="0" fontId="22" fillId="0" borderId="0" xfId="0" applyFont="1" applyAlignment="1" applyProtection="1">
      <alignment horizontal="right"/>
    </xf>
    <xf numFmtId="0" fontId="22" fillId="0" borderId="0" xfId="0" applyFont="1" applyAlignment="1" applyProtection="1">
      <alignment horizontal="center"/>
    </xf>
    <xf numFmtId="0" fontId="23" fillId="6" borderId="0" xfId="0" applyFont="1" applyFill="1" applyAlignment="1" applyProtection="1"/>
    <xf numFmtId="38" fontId="23" fillId="6" borderId="0" xfId="0" applyNumberFormat="1" applyFont="1" applyFill="1" applyAlignment="1" applyProtection="1"/>
    <xf numFmtId="166" fontId="23" fillId="6" borderId="0" xfId="0" applyNumberFormat="1" applyFont="1" applyFill="1" applyAlignment="1" applyProtection="1">
      <alignment horizontal="right" indent="1"/>
    </xf>
    <xf numFmtId="0" fontId="23" fillId="6" borderId="5" xfId="0" applyFont="1" applyFill="1" applyBorder="1" applyAlignment="1" applyProtection="1"/>
    <xf numFmtId="38" fontId="23" fillId="6" borderId="5" xfId="0" applyNumberFormat="1" applyFont="1" applyFill="1" applyBorder="1" applyAlignment="1" applyProtection="1"/>
    <xf numFmtId="0" fontId="23" fillId="0" borderId="0" xfId="0" applyFont="1" applyBorder="1" applyAlignment="1" applyProtection="1"/>
    <xf numFmtId="0" fontId="24" fillId="0" borderId="6" xfId="0" applyFont="1" applyBorder="1" applyAlignment="1" applyProtection="1"/>
    <xf numFmtId="167" fontId="23" fillId="0" borderId="0" xfId="0" applyNumberFormat="1" applyFont="1" applyAlignment="1" applyProtection="1">
      <protection locked="0"/>
    </xf>
    <xf numFmtId="38" fontId="25" fillId="6" borderId="7" xfId="0" applyNumberFormat="1" applyFont="1" applyFill="1" applyBorder="1" applyAlignment="1" applyProtection="1"/>
    <xf numFmtId="168" fontId="25" fillId="6" borderId="8" xfId="0" applyNumberFormat="1" applyFont="1" applyFill="1" applyBorder="1" applyAlignment="1" applyProtection="1">
      <alignment horizontal="right" indent="1"/>
    </xf>
    <xf numFmtId="167" fontId="23" fillId="0" borderId="2" xfId="0" applyNumberFormat="1" applyFont="1" applyBorder="1" applyAlignment="1" applyProtection="1">
      <protection locked="0"/>
    </xf>
    <xf numFmtId="38" fontId="25" fillId="6" borderId="9" xfId="0" applyNumberFormat="1" applyFont="1" applyFill="1" applyBorder="1" applyAlignment="1" applyProtection="1"/>
    <xf numFmtId="167" fontId="23" fillId="0" borderId="3" xfId="0" applyNumberFormat="1" applyFont="1" applyBorder="1" applyAlignment="1" applyProtection="1">
      <protection locked="0"/>
    </xf>
    <xf numFmtId="38" fontId="25" fillId="6" borderId="10" xfId="0" applyNumberFormat="1" applyFont="1" applyFill="1" applyBorder="1" applyAlignment="1" applyProtection="1"/>
    <xf numFmtId="0" fontId="24" fillId="0" borderId="11" xfId="0" applyFont="1" applyBorder="1" applyAlignment="1" applyProtection="1"/>
    <xf numFmtId="38" fontId="26" fillId="0" borderId="11" xfId="0" applyNumberFormat="1" applyFont="1" applyBorder="1" applyAlignment="1" applyProtection="1"/>
    <xf numFmtId="10" fontId="26" fillId="0" borderId="11" xfId="0" applyNumberFormat="1" applyFont="1" applyBorder="1" applyAlignment="1" applyProtection="1"/>
    <xf numFmtId="0" fontId="23" fillId="0" borderId="4" xfId="0" applyFont="1" applyBorder="1" applyAlignment="1" applyProtection="1"/>
    <xf numFmtId="0" fontId="24" fillId="0" borderId="12" xfId="0" applyFont="1" applyBorder="1" applyAlignment="1" applyProtection="1"/>
    <xf numFmtId="0" fontId="27" fillId="0" borderId="0" xfId="0" applyFont="1" applyAlignment="1" applyProtection="1"/>
    <xf numFmtId="38" fontId="23" fillId="0" borderId="0" xfId="0" applyNumberFormat="1" applyFont="1" applyAlignment="1" applyProtection="1"/>
    <xf numFmtId="38" fontId="25" fillId="6" borderId="13" xfId="0" applyNumberFormat="1" applyFont="1" applyFill="1" applyBorder="1" applyAlignment="1" applyProtection="1"/>
    <xf numFmtId="168" fontId="25" fillId="6" borderId="13" xfId="0" applyNumberFormat="1" applyFont="1" applyFill="1" applyBorder="1" applyAlignment="1" applyProtection="1">
      <alignment horizontal="right" indent="1"/>
    </xf>
    <xf numFmtId="0" fontId="27" fillId="0" borderId="0" xfId="0" applyFont="1" applyBorder="1" applyAlignment="1" applyProtection="1"/>
    <xf numFmtId="38" fontId="25" fillId="6" borderId="0" xfId="0" applyNumberFormat="1" applyFont="1" applyFill="1" applyBorder="1" applyAlignment="1" applyProtection="1"/>
    <xf numFmtId="0" fontId="27" fillId="0" borderId="14" xfId="0" applyFont="1" applyBorder="1" applyAlignment="1" applyProtection="1"/>
    <xf numFmtId="38" fontId="23" fillId="0" borderId="14" xfId="0" applyNumberFormat="1" applyFont="1" applyBorder="1" applyAlignment="1" applyProtection="1"/>
    <xf numFmtId="38" fontId="25" fillId="6" borderId="14" xfId="0" applyNumberFormat="1" applyFont="1" applyFill="1" applyBorder="1" applyAlignment="1" applyProtection="1"/>
    <xf numFmtId="168" fontId="25" fillId="6" borderId="14" xfId="0" applyNumberFormat="1" applyFont="1" applyFill="1" applyBorder="1" applyAlignment="1" applyProtection="1">
      <alignment horizontal="right" indent="1"/>
    </xf>
    <xf numFmtId="0" fontId="24" fillId="0" borderId="15" xfId="0" applyFont="1" applyBorder="1" applyAlignment="1" applyProtection="1"/>
    <xf numFmtId="38" fontId="26" fillId="0" borderId="15" xfId="0" applyNumberFormat="1" applyFont="1" applyBorder="1" applyAlignment="1" applyProtection="1"/>
    <xf numFmtId="10" fontId="26" fillId="0" borderId="15" xfId="0" applyNumberFormat="1" applyFont="1" applyBorder="1" applyAlignment="1" applyProtection="1"/>
    <xf numFmtId="0" fontId="0" fillId="0" borderId="16" xfId="0" applyFont="1" applyBorder="1" applyAlignment="1" applyProtection="1"/>
    <xf numFmtId="38" fontId="0" fillId="0" borderId="0" xfId="0" applyNumberFormat="1" applyAlignment="1" applyProtection="1">
      <alignment horizontal="center"/>
    </xf>
    <xf numFmtId="0" fontId="0" fillId="0" borderId="0" xfId="0" applyAlignment="1" applyProtection="1">
      <alignment horizontal="center"/>
    </xf>
    <xf numFmtId="0" fontId="0" fillId="0" borderId="0" xfId="0" applyFont="1" applyAlignment="1" applyProtection="1">
      <alignment horizontal="right"/>
    </xf>
    <xf numFmtId="0" fontId="0" fillId="0" borderId="0" xfId="0" applyAlignment="1" applyProtection="1">
      <alignment horizontal="center"/>
      <protection locked="0"/>
    </xf>
    <xf numFmtId="0" fontId="0" fillId="0" borderId="16" xfId="0" applyFont="1" applyBorder="1" applyAlignment="1" applyProtection="1">
      <alignment horizontal="right" indent="5"/>
    </xf>
    <xf numFmtId="168" fontId="0" fillId="0" borderId="0" xfId="0" applyNumberFormat="1" applyAlignment="1" applyProtection="1"/>
    <xf numFmtId="0" fontId="31" fillId="0" borderId="1" xfId="0" applyFont="1" applyBorder="1" applyAlignment="1" applyProtection="1">
      <alignment wrapText="1"/>
    </xf>
    <xf numFmtId="0" fontId="1" fillId="2" borderId="0" xfId="2" applyFont="1" applyFill="1" applyBorder="1" applyAlignment="1" applyProtection="1">
      <alignment horizontal="center"/>
    </xf>
    <xf numFmtId="0" fontId="16" fillId="0" borderId="0" xfId="0" applyFont="1" applyBorder="1" applyAlignment="1" applyProtection="1">
      <alignment horizontal="center"/>
    </xf>
    <xf numFmtId="0" fontId="17" fillId="2" borderId="0" xfId="0" applyFont="1" applyFill="1" applyBorder="1" applyAlignment="1" applyProtection="1">
      <alignment horizontal="center"/>
    </xf>
    <xf numFmtId="3" fontId="19" fillId="0" borderId="0" xfId="0" applyNumberFormat="1" applyFont="1" applyBorder="1" applyAlignment="1" applyProtection="1">
      <alignment horizontal="center"/>
    </xf>
    <xf numFmtId="3" fontId="19" fillId="0" borderId="0" xfId="3" applyNumberFormat="1" applyFont="1" applyBorder="1" applyAlignment="1" applyProtection="1">
      <alignment horizontal="center" indent="2"/>
    </xf>
  </cellXfs>
  <cellStyles count="4">
    <cellStyle name="Comma" xfId="1" builtinId="3"/>
    <cellStyle name="Excel Built-in Heading 1" xfId="3" xr:uid="{00000000-0005-0000-0000-000007000000}"/>
    <cellStyle name="Excel Built-in Heading 2" xfId="2" xr:uid="{00000000-0005-0000-0000-000006000000}"/>
    <cellStyle name="Normal" xfId="0" builtinId="0"/>
  </cellStyles>
  <dxfs count="1">
    <dxf>
      <font>
        <color rgb="FFEB4A17"/>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46778"/>
      <rgbColor rgb="FFB3B3B3"/>
      <rgbColor rgb="FF7F7F7F"/>
      <rgbColor rgb="FF9999FF"/>
      <rgbColor rgb="FF993366"/>
      <rgbColor rgb="FFF2F2F2"/>
      <rgbColor rgb="FFCCFFFF"/>
      <rgbColor rgb="FF660066"/>
      <rgbColor rgb="FFF06E6E"/>
      <rgbColor rgb="FF0066CC"/>
      <rgbColor rgb="FFD9D9D9"/>
      <rgbColor rgb="FF000080"/>
      <rgbColor rgb="FFFF00FF"/>
      <rgbColor rgb="FFFFFF00"/>
      <rgbColor rgb="FF00FFFF"/>
      <rgbColor rgb="FF800080"/>
      <rgbColor rgb="FF800000"/>
      <rgbColor rgb="FF008080"/>
      <rgbColor rgb="FF0000FF"/>
      <rgbColor rgb="FF00CCFF"/>
      <rgbColor rgb="FFCCFFFF"/>
      <rgbColor rgb="FFC5EBD8"/>
      <rgbColor rgb="FFFFFF99"/>
      <rgbColor rgb="FFB0D6E2"/>
      <rgbColor rgb="FFFF99CC"/>
      <rgbColor rgb="FFCC99FF"/>
      <rgbColor rgb="FFFED99D"/>
      <rgbColor rgb="FF3366FF"/>
      <rgbColor rgb="FF67BCD1"/>
      <rgbColor rgb="FF99CC00"/>
      <rgbColor rgb="FFFFCC00"/>
      <rgbColor rgb="FFFF9900"/>
      <rgbColor rgb="FFEB4A17"/>
      <rgbColor rgb="FF595959"/>
      <rgbColor rgb="FF6ECC9E"/>
      <rgbColor rgb="FF003366"/>
      <rgbColor rgb="FF5199AB"/>
      <rgbColor rgb="FF003300"/>
      <rgbColor rgb="FF404040"/>
      <rgbColor rgb="FF794D08"/>
      <rgbColor rgb="FF993366"/>
      <rgbColor rgb="FF333399"/>
      <rgbColor rgb="FF36363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3"/>
  <c:chart>
    <c:autoTitleDeleted val="1"/>
    <c:plotArea>
      <c:layout>
        <c:manualLayout>
          <c:layoutTarget val="inner"/>
          <c:xMode val="edge"/>
          <c:yMode val="edge"/>
          <c:x val="0.14275414563806799"/>
          <c:y val="7.43801652892562E-2"/>
          <c:w val="0.85714285714285698"/>
          <c:h val="0.55897821187077401"/>
        </c:manualLayout>
      </c:layout>
      <c:lineChart>
        <c:grouping val="standard"/>
        <c:varyColors val="0"/>
        <c:ser>
          <c:idx val="0"/>
          <c:order val="0"/>
          <c:tx>
            <c:strRef>
              <c:f>"Cash Flow"</c:f>
              <c:strCache>
                <c:ptCount val="1"/>
                <c:pt idx="0">
                  <c:v>Cash Flow</c:v>
                </c:pt>
              </c:strCache>
            </c:strRef>
          </c:tx>
          <c:spPr>
            <a:ln w="28440" cap="rnd">
              <a:solidFill>
                <a:srgbClr val="5199AB"/>
              </a:solidFill>
              <a:round/>
            </a:ln>
          </c:spPr>
          <c:marker>
            <c:symbol val="none"/>
          </c:marker>
          <c:dLbls>
            <c:spPr>
              <a:noFill/>
              <a:ln>
                <a:noFill/>
              </a:ln>
              <a:effectLst/>
            </c:spPr>
            <c:txPr>
              <a:bodyPr wrap="square"/>
              <a:lstStyle/>
              <a:p>
                <a:pPr>
                  <a:defRPr sz="1000" b="0" u="none" strike="noStrike">
                    <a:solidFill>
                      <a:srgbClr val="000000"/>
                    </a:solidFill>
                    <a:uFillTx/>
                    <a:latin typeface="Trebuchet MS"/>
                    <a:ea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chart_calcs!$D$12:$P$12</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year  </c:v>
                </c:pt>
              </c:strCache>
            </c:strRef>
          </c:cat>
          <c:val>
            <c:numRef>
              <c:f>'Yearly Forecast'!$C$24:$O$24</c:f>
              <c:numCache>
                <c:formatCode>#,##0_);[Red]\(#,##0\)</c:formatCode>
                <c:ptCount val="13"/>
                <c:pt idx="0">
                  <c:v>8411.86</c:v>
                </c:pt>
                <c:pt idx="1">
                  <c:v>12957.36</c:v>
                </c:pt>
                <c:pt idx="2">
                  <c:v>17154.36</c:v>
                </c:pt>
                <c:pt idx="3">
                  <c:v>26948.36</c:v>
                </c:pt>
                <c:pt idx="4">
                  <c:v>33536.36</c:v>
                </c:pt>
                <c:pt idx="5">
                  <c:v>37419.360000000001</c:v>
                </c:pt>
                <c:pt idx="6">
                  <c:v>46793.86</c:v>
                </c:pt>
                <c:pt idx="7">
                  <c:v>47427.360000000001</c:v>
                </c:pt>
                <c:pt idx="8">
                  <c:v>33544.86</c:v>
                </c:pt>
                <c:pt idx="9">
                  <c:v>18763.86</c:v>
                </c:pt>
                <c:pt idx="10">
                  <c:v>10759.36</c:v>
                </c:pt>
                <c:pt idx="11">
                  <c:v>1627.3600000000006</c:v>
                </c:pt>
                <c:pt idx="12">
                  <c:v>295344.31999999995</c:v>
                </c:pt>
              </c:numCache>
            </c:numRef>
          </c:val>
          <c:smooth val="0"/>
          <c:extLst>
            <c:ext xmlns:c16="http://schemas.microsoft.com/office/drawing/2014/chart" uri="{C3380CC4-5D6E-409C-BE32-E72D297353CC}">
              <c16:uniqueId val="{00000000-FC34-4893-A8E6-4DD744385502}"/>
            </c:ext>
          </c:extLst>
        </c:ser>
        <c:dLbls>
          <c:showLegendKey val="0"/>
          <c:showVal val="0"/>
          <c:showCatName val="0"/>
          <c:showSerName val="0"/>
          <c:showPercent val="0"/>
          <c:showBubbleSize val="0"/>
        </c:dLbls>
        <c:hiLowLines>
          <c:spPr>
            <a:ln w="0">
              <a:noFill/>
            </a:ln>
          </c:spPr>
        </c:hiLowLines>
        <c:marker val="1"/>
        <c:smooth val="0"/>
        <c:axId val="34511173"/>
        <c:axId val="61043500"/>
      </c:lineChart>
      <c:scatterChart>
        <c:scatterStyle val="lineMarker"/>
        <c:varyColors val="0"/>
        <c:ser>
          <c:idx val="1"/>
          <c:order val="1"/>
          <c:tx>
            <c:strRef>
              <c:f>"Positive Selected Period"</c:f>
              <c:strCache>
                <c:ptCount val="1"/>
                <c:pt idx="0">
                  <c:v>Positive Selected Period</c:v>
                </c:pt>
              </c:strCache>
            </c:strRef>
          </c:tx>
          <c:spPr>
            <a:ln w="28440">
              <a:noFill/>
            </a:ln>
          </c:spPr>
          <c:marker>
            <c:symbol val="circle"/>
            <c:size val="14"/>
            <c:spPr>
              <a:solidFill>
                <a:srgbClr val="67BCD1"/>
              </a:solidFill>
            </c:spPr>
          </c:marker>
          <c:dLbls>
            <c:spPr>
              <a:noFill/>
              <a:ln>
                <a:noFill/>
              </a:ln>
              <a:effectLst/>
            </c:spPr>
            <c:txPr>
              <a:bodyPr wrap="square"/>
              <a:lstStyle/>
              <a:p>
                <a:pPr>
                  <a:defRPr sz="1000" b="0" u="none" strike="noStrike">
                    <a:solidFill>
                      <a:srgbClr val="000000"/>
                    </a:solidFill>
                    <a:uFillTx/>
                    <a:latin typeface="Trebuchet MS"/>
                    <a:ea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strRef>
              <c:f>chart_calcs!$D$12:$P$12</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year  </c:v>
                </c:pt>
              </c:strCache>
            </c:strRef>
          </c:xVal>
          <c:yVal>
            <c:numRef>
              <c:f>chart_calcs!$D$14:$P$14</c:f>
              <c:numCache>
                <c:formatCode>#,##0_);[Red]\(#,##0\)</c:formatCode>
                <c:ptCount val="13"/>
                <c:pt idx="0">
                  <c:v>12957.36</c:v>
                </c:pt>
                <c:pt idx="1">
                  <c:v>#N/A</c:v>
                </c:pt>
                <c:pt idx="2" formatCode="General">
                  <c:v>#N/A</c:v>
                </c:pt>
                <c:pt idx="3" formatCode="General">
                  <c:v>#N/A</c:v>
                </c:pt>
                <c:pt idx="4" formatCode="General">
                  <c:v>#N/A</c:v>
                </c:pt>
                <c:pt idx="5" formatCode="General">
                  <c:v>#N/A</c:v>
                </c:pt>
                <c:pt idx="6" formatCode="General">
                  <c:v>#N/A</c:v>
                </c:pt>
                <c:pt idx="7" formatCode="General">
                  <c:v>#N/A</c:v>
                </c:pt>
                <c:pt idx="8" formatCode="General">
                  <c:v>#N/A</c:v>
                </c:pt>
                <c:pt idx="9" formatCode="General">
                  <c:v>#N/A</c:v>
                </c:pt>
                <c:pt idx="10" formatCode="General">
                  <c:v>#N/A</c:v>
                </c:pt>
                <c:pt idx="11" formatCode="General">
                  <c:v>#N/A</c:v>
                </c:pt>
                <c:pt idx="12" formatCode="General">
                  <c:v>#N/A</c:v>
                </c:pt>
              </c:numCache>
            </c:numRef>
          </c:yVal>
          <c:smooth val="0"/>
          <c:extLst>
            <c:ext xmlns:c16="http://schemas.microsoft.com/office/drawing/2014/chart" uri="{C3380CC4-5D6E-409C-BE32-E72D297353CC}">
              <c16:uniqueId val="{00000001-FC34-4893-A8E6-4DD744385502}"/>
            </c:ext>
          </c:extLst>
        </c:ser>
        <c:ser>
          <c:idx val="2"/>
          <c:order val="2"/>
          <c:tx>
            <c:strRef>
              <c:f>"Negative Selected Period"</c:f>
              <c:strCache>
                <c:ptCount val="1"/>
                <c:pt idx="0">
                  <c:v>Negative Selected Period</c:v>
                </c:pt>
              </c:strCache>
            </c:strRef>
          </c:tx>
          <c:spPr>
            <a:ln w="28440">
              <a:noFill/>
            </a:ln>
          </c:spPr>
          <c:marker>
            <c:symbol val="circle"/>
            <c:size val="14"/>
            <c:spPr>
              <a:solidFill>
                <a:srgbClr val="B0D6E2"/>
              </a:solidFill>
            </c:spPr>
          </c:marker>
          <c:dLbls>
            <c:spPr>
              <a:noFill/>
              <a:ln>
                <a:noFill/>
              </a:ln>
              <a:effectLst/>
            </c:spPr>
            <c:txPr>
              <a:bodyPr wrap="square"/>
              <a:lstStyle/>
              <a:p>
                <a:pPr>
                  <a:defRPr sz="1000" b="0" u="none" strike="noStrike">
                    <a:solidFill>
                      <a:srgbClr val="000000"/>
                    </a:solidFill>
                    <a:uFillTx/>
                    <a:latin typeface="Trebuchet MS"/>
                    <a:ea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xVal>
            <c:strRef>
              <c:f>chart_calcs!$D$12:$P$12</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year  </c:v>
                </c:pt>
              </c:strCache>
            </c:strRef>
          </c:xVal>
          <c:yVal>
            <c:numRef>
              <c:f>chart_calcs!$D$15:$P$15</c:f>
              <c:numCache>
                <c:formatCode>General</c:formatCode>
                <c:ptCount val="13"/>
                <c:pt idx="0">
                  <c:v>#N/A</c:v>
                </c:pt>
                <c:pt idx="1">
                  <c:v>#N/A</c:v>
                </c:pt>
                <c:pt idx="2">
                  <c:v>#N/A</c:v>
                </c:pt>
                <c:pt idx="3">
                  <c:v>#N/A</c:v>
                </c:pt>
                <c:pt idx="4">
                  <c:v>#N/A</c:v>
                </c:pt>
                <c:pt idx="5">
                  <c:v>#N/A</c:v>
                </c:pt>
                <c:pt idx="6">
                  <c:v>#N/A</c:v>
                </c:pt>
                <c:pt idx="7">
                  <c:v>#N/A</c:v>
                </c:pt>
                <c:pt idx="8">
                  <c:v>#N/A</c:v>
                </c:pt>
                <c:pt idx="9">
                  <c:v>#N/A</c:v>
                </c:pt>
                <c:pt idx="10">
                  <c:v>#N/A</c:v>
                </c:pt>
                <c:pt idx="11">
                  <c:v>#N/A</c:v>
                </c:pt>
                <c:pt idx="12">
                  <c:v>#N/A</c:v>
                </c:pt>
              </c:numCache>
            </c:numRef>
          </c:yVal>
          <c:smooth val="0"/>
          <c:extLst>
            <c:ext xmlns:c16="http://schemas.microsoft.com/office/drawing/2014/chart" uri="{C3380CC4-5D6E-409C-BE32-E72D297353CC}">
              <c16:uniqueId val="{00000002-FC34-4893-A8E6-4DD744385502}"/>
            </c:ext>
          </c:extLst>
        </c:ser>
        <c:dLbls>
          <c:showLegendKey val="0"/>
          <c:showVal val="0"/>
          <c:showCatName val="0"/>
          <c:showSerName val="0"/>
          <c:showPercent val="0"/>
          <c:showBubbleSize val="0"/>
        </c:dLbls>
        <c:axId val="93140054"/>
        <c:axId val="30370614"/>
      </c:scatterChart>
      <c:catAx>
        <c:axId val="34511173"/>
        <c:scaling>
          <c:orientation val="minMax"/>
        </c:scaling>
        <c:delete val="1"/>
        <c:axPos val="b"/>
        <c:numFmt formatCode="General" sourceLinked="1"/>
        <c:majorTickMark val="none"/>
        <c:minorTickMark val="none"/>
        <c:tickLblPos val="low"/>
        <c:crossAx val="61043500"/>
        <c:crosses val="autoZero"/>
        <c:auto val="1"/>
        <c:lblAlgn val="ctr"/>
        <c:lblOffset val="100"/>
        <c:noMultiLvlLbl val="0"/>
      </c:catAx>
      <c:valAx>
        <c:axId val="61043500"/>
        <c:scaling>
          <c:orientation val="minMax"/>
          <c:max val="1000"/>
        </c:scaling>
        <c:delete val="1"/>
        <c:axPos val="l"/>
        <c:numFmt formatCode="#,##0_);[Red]\(#,##0\)" sourceLinked="1"/>
        <c:majorTickMark val="out"/>
        <c:minorTickMark val="none"/>
        <c:tickLblPos val="nextTo"/>
        <c:crossAx val="34511173"/>
        <c:crosses val="autoZero"/>
        <c:crossBetween val="between"/>
        <c:majorUnit val="200"/>
      </c:valAx>
      <c:valAx>
        <c:axId val="93140054"/>
        <c:scaling>
          <c:orientation val="minMax"/>
        </c:scaling>
        <c:delete val="1"/>
        <c:axPos val="b"/>
        <c:numFmt formatCode="General" sourceLinked="1"/>
        <c:majorTickMark val="none"/>
        <c:minorTickMark val="none"/>
        <c:tickLblPos val="low"/>
        <c:crossAx val="30370614"/>
        <c:crosses val="autoZero"/>
        <c:crossBetween val="between"/>
      </c:valAx>
      <c:valAx>
        <c:axId val="30370614"/>
        <c:scaling>
          <c:orientation val="minMax"/>
          <c:max val="1000"/>
        </c:scaling>
        <c:delete val="1"/>
        <c:axPos val="l"/>
        <c:numFmt formatCode="#,##0_);[Red]\(#,##0\)" sourceLinked="1"/>
        <c:majorTickMark val="out"/>
        <c:minorTickMark val="none"/>
        <c:tickLblPos val="nextTo"/>
        <c:crossAx val="93140054"/>
        <c:crosses val="autoZero"/>
        <c:crossBetween val="between"/>
        <c:majorUnit val="200"/>
      </c:valAx>
      <c:spPr>
        <a:noFill/>
        <a:ln w="0">
          <a:noFill/>
        </a:ln>
      </c:spPr>
    </c:plotArea>
    <c:plotVisOnly val="1"/>
    <c:dispBlanksAs val="gap"/>
    <c:showDLblsOverMax val="1"/>
  </c:chart>
  <c:spPr>
    <a:noFill/>
    <a:ln w="9360">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bar"/>
        <c:grouping val="clustered"/>
        <c:varyColors val="0"/>
        <c:ser>
          <c:idx val="0"/>
          <c:order val="0"/>
          <c:tx>
            <c:strRef>
              <c:f>'Dynamic Table'!$D$1</c:f>
              <c:strCache>
                <c:ptCount val="1"/>
                <c:pt idx="0">
                  <c:v>Income</c:v>
                </c:pt>
              </c:strCache>
            </c:strRef>
          </c:tx>
          <c:spPr>
            <a:solidFill>
              <a:srgbClr val="6ECC9E"/>
            </a:solidFill>
            <a:ln w="12600">
              <a:noFill/>
            </a:ln>
          </c:spPr>
          <c:invertIfNegative val="0"/>
          <c:dLbls>
            <c:spPr>
              <a:noFill/>
              <a:ln>
                <a:noFill/>
              </a:ln>
              <a:effectLst/>
            </c:spPr>
            <c:txPr>
              <a:bodyPr wrap="square"/>
              <a:lstStyle/>
              <a:p>
                <a:pPr>
                  <a:defRPr sz="1000" b="0" u="none" strike="noStrike">
                    <a:solidFill>
                      <a:srgbClr val="000000"/>
                    </a:solidFill>
                    <a:uFillTx/>
                    <a:latin typeface="Trebuchet MS"/>
                    <a:ea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000000"/>
                      </a:solidFill>
                    </a:ln>
                  </c:spPr>
                </c15:leaderLines>
              </c:ext>
            </c:extLst>
          </c:dLbls>
          <c:cat>
            <c:strRef>
              <c:f>'Dynamic Table'!$B$3:$B$8</c:f>
              <c:strCache>
                <c:ptCount val="6"/>
                <c:pt idx="0">
                  <c:v>Exam services</c:v>
                </c:pt>
                <c:pt idx="1">
                  <c:v>Vaccinations</c:v>
                </c:pt>
                <c:pt idx="2">
                  <c:v>Surgeries &amp; procedures</c:v>
                </c:pt>
                <c:pt idx="3">
                  <c:v>Diagnostics</c:v>
                </c:pt>
                <c:pt idx="4">
                  <c:v>Boarding</c:v>
                </c:pt>
                <c:pt idx="5">
                  <c:v>Retail sales</c:v>
                </c:pt>
              </c:strCache>
            </c:strRef>
          </c:cat>
          <c:val>
            <c:numRef>
              <c:f>'Dynamic Table'!$D$3:$D$8</c:f>
              <c:numCache>
                <c:formatCode>#,##0</c:formatCode>
                <c:ptCount val="6"/>
                <c:pt idx="0">
                  <c:v>10750</c:v>
                </c:pt>
                <c:pt idx="1">
                  <c:v>11840</c:v>
                </c:pt>
                <c:pt idx="2">
                  <c:v>42330</c:v>
                </c:pt>
                <c:pt idx="3">
                  <c:v>10360</c:v>
                </c:pt>
                <c:pt idx="4">
                  <c:v>3120</c:v>
                </c:pt>
                <c:pt idx="5">
                  <c:v>1778</c:v>
                </c:pt>
              </c:numCache>
            </c:numRef>
          </c:val>
          <c:extLst>
            <c:ext xmlns:c16="http://schemas.microsoft.com/office/drawing/2014/chart" uri="{C3380CC4-5D6E-409C-BE32-E72D297353CC}">
              <c16:uniqueId val="{00000000-8CC8-4AC4-9F2B-06C26080443E}"/>
            </c:ext>
          </c:extLst>
        </c:ser>
        <c:dLbls>
          <c:showLegendKey val="0"/>
          <c:showVal val="0"/>
          <c:showCatName val="0"/>
          <c:showSerName val="0"/>
          <c:showPercent val="0"/>
          <c:showBubbleSize val="0"/>
        </c:dLbls>
        <c:gapWidth val="182"/>
        <c:axId val="31612404"/>
        <c:axId val="62199975"/>
      </c:barChart>
      <c:catAx>
        <c:axId val="31612404"/>
        <c:scaling>
          <c:orientation val="minMax"/>
        </c:scaling>
        <c:delete val="0"/>
        <c:axPos val="l"/>
        <c:numFmt formatCode="General" sourceLinked="0"/>
        <c:majorTickMark val="none"/>
        <c:minorTickMark val="none"/>
        <c:tickLblPos val="nextTo"/>
        <c:spPr>
          <a:ln w="9360">
            <a:solidFill>
              <a:srgbClr val="D9D9D9"/>
            </a:solidFill>
            <a:round/>
          </a:ln>
        </c:spPr>
        <c:txPr>
          <a:bodyPr/>
          <a:lstStyle/>
          <a:p>
            <a:pPr>
              <a:defRPr sz="900" b="0" u="none" strike="noStrike">
                <a:solidFill>
                  <a:srgbClr val="595959"/>
                </a:solidFill>
                <a:uFillTx/>
                <a:latin typeface="Trebuchet MS"/>
                <a:ea typeface="Arial"/>
              </a:defRPr>
            </a:pPr>
            <a:endParaRPr lang="en-US"/>
          </a:p>
        </c:txPr>
        <c:crossAx val="62199975"/>
        <c:crosses val="autoZero"/>
        <c:auto val="1"/>
        <c:lblAlgn val="ctr"/>
        <c:lblOffset val="100"/>
        <c:noMultiLvlLbl val="0"/>
      </c:catAx>
      <c:valAx>
        <c:axId val="62199975"/>
        <c:scaling>
          <c:orientation val="minMax"/>
        </c:scaling>
        <c:delete val="0"/>
        <c:axPos val="b"/>
        <c:majorGridlines>
          <c:spPr>
            <a:ln w="9360">
              <a:solidFill>
                <a:srgbClr val="D9D9D9"/>
              </a:solidFill>
              <a:round/>
            </a:ln>
          </c:spPr>
        </c:majorGridlines>
        <c:numFmt formatCode="#,##0" sourceLinked="0"/>
        <c:majorTickMark val="none"/>
        <c:minorTickMark val="none"/>
        <c:tickLblPos val="nextTo"/>
        <c:spPr>
          <a:ln w="9360">
            <a:noFill/>
          </a:ln>
        </c:spPr>
        <c:txPr>
          <a:bodyPr/>
          <a:lstStyle/>
          <a:p>
            <a:pPr>
              <a:defRPr sz="900" b="0" u="none" strike="noStrike">
                <a:solidFill>
                  <a:srgbClr val="595959"/>
                </a:solidFill>
                <a:uFillTx/>
                <a:latin typeface="Trebuchet MS"/>
                <a:ea typeface="Arial"/>
              </a:defRPr>
            </a:pPr>
            <a:endParaRPr lang="en-US"/>
          </a:p>
        </c:txPr>
        <c:crossAx val="31612404"/>
        <c:crosses val="autoZero"/>
        <c:crossBetween val="between"/>
      </c:valAx>
      <c:spPr>
        <a:noFill/>
        <a:ln w="0">
          <a:noFill/>
        </a:ln>
      </c:spPr>
    </c:plotArea>
    <c:legend>
      <c:legendPos val="b"/>
      <c:overlay val="0"/>
      <c:spPr>
        <a:noFill/>
        <a:ln w="0">
          <a:noFill/>
        </a:ln>
      </c:spPr>
      <c:txPr>
        <a:bodyPr/>
        <a:lstStyle/>
        <a:p>
          <a:pPr>
            <a:defRPr sz="900" b="0" u="none" strike="noStrike">
              <a:solidFill>
                <a:srgbClr val="595959"/>
              </a:solidFill>
              <a:uFillTx/>
              <a:latin typeface="Trebuchet MS"/>
              <a:ea typeface="Arial"/>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bar"/>
        <c:grouping val="clustered"/>
        <c:varyColors val="0"/>
        <c:ser>
          <c:idx val="0"/>
          <c:order val="0"/>
          <c:tx>
            <c:strRef>
              <c:f>'Dynamic Table'!$E$1</c:f>
              <c:strCache>
                <c:ptCount val="1"/>
                <c:pt idx="0">
                  <c:v>Expenses</c:v>
                </c:pt>
              </c:strCache>
            </c:strRef>
          </c:tx>
          <c:spPr>
            <a:solidFill>
              <a:srgbClr val="F06E6E"/>
            </a:solidFill>
            <a:ln w="12600">
              <a:noFill/>
            </a:ln>
          </c:spPr>
          <c:invertIfNegative val="0"/>
          <c:dLbls>
            <c:spPr>
              <a:noFill/>
              <a:ln>
                <a:noFill/>
              </a:ln>
              <a:effectLst/>
            </c:spPr>
            <c:txPr>
              <a:bodyPr wrap="square"/>
              <a:lstStyle/>
              <a:p>
                <a:pPr>
                  <a:defRPr sz="1000" b="0" u="none" strike="noStrike">
                    <a:solidFill>
                      <a:srgbClr val="000000"/>
                    </a:solidFill>
                    <a:uFillTx/>
                    <a:latin typeface="Trebuchet MS"/>
                    <a:ea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000000"/>
                      </a:solidFill>
                    </a:ln>
                  </c:spPr>
                </c15:leaderLines>
              </c:ext>
            </c:extLst>
          </c:dLbls>
          <c:cat>
            <c:strRef>
              <c:f>'Dynamic Table'!$C$4:$C$17</c:f>
              <c:strCache>
                <c:ptCount val="14"/>
                <c:pt idx="0">
                  <c:v>Labor</c:v>
                </c:pt>
                <c:pt idx="1">
                  <c:v>Payroll taxes</c:v>
                </c:pt>
                <c:pt idx="2">
                  <c:v>Medical supplies</c:v>
                </c:pt>
                <c:pt idx="3">
                  <c:v>Rent</c:v>
                </c:pt>
                <c:pt idx="4">
                  <c:v>Utilities</c:v>
                </c:pt>
                <c:pt idx="5">
                  <c:v>Insurance</c:v>
                </c:pt>
                <c:pt idx="6">
                  <c:v>Marketing</c:v>
                </c:pt>
                <c:pt idx="7">
                  <c:v>Office supplies</c:v>
                </c:pt>
                <c:pt idx="8">
                  <c:v>Licenses</c:v>
                </c:pt>
                <c:pt idx="9">
                  <c:v>Software subscriptions</c:v>
                </c:pt>
                <c:pt idx="10">
                  <c:v>Cleaning service</c:v>
                </c:pt>
                <c:pt idx="11">
                  <c:v>Internet</c:v>
                </c:pt>
                <c:pt idx="12">
                  <c:v>Phone</c:v>
                </c:pt>
                <c:pt idx="13">
                  <c:v>Equipment depreciation</c:v>
                </c:pt>
              </c:strCache>
            </c:strRef>
          </c:cat>
          <c:val>
            <c:numRef>
              <c:f>'Dynamic Table'!$E$4:$E$17</c:f>
              <c:numCache>
                <c:formatCode>#,##0</c:formatCode>
                <c:ptCount val="14"/>
                <c:pt idx="0">
                  <c:v>20944</c:v>
                </c:pt>
                <c:pt idx="1">
                  <c:v>3875</c:v>
                </c:pt>
                <c:pt idx="2">
                  <c:v>1285</c:v>
                </c:pt>
                <c:pt idx="3">
                  <c:v>2400</c:v>
                </c:pt>
                <c:pt idx="4">
                  <c:v>360</c:v>
                </c:pt>
                <c:pt idx="5">
                  <c:v>270</c:v>
                </c:pt>
                <c:pt idx="6">
                  <c:v>1600</c:v>
                </c:pt>
                <c:pt idx="7">
                  <c:v>397</c:v>
                </c:pt>
                <c:pt idx="8">
                  <c:v>0</c:v>
                </c:pt>
                <c:pt idx="9">
                  <c:v>425</c:v>
                </c:pt>
                <c:pt idx="10">
                  <c:v>1065</c:v>
                </c:pt>
                <c:pt idx="11">
                  <c:v>140</c:v>
                </c:pt>
                <c:pt idx="12">
                  <c:v>108</c:v>
                </c:pt>
                <c:pt idx="13">
                  <c:v>515</c:v>
                </c:pt>
              </c:numCache>
            </c:numRef>
          </c:val>
          <c:extLst>
            <c:ext xmlns:c16="http://schemas.microsoft.com/office/drawing/2014/chart" uri="{C3380CC4-5D6E-409C-BE32-E72D297353CC}">
              <c16:uniqueId val="{00000000-2AEF-45F5-A3A0-7BAB3D6D555B}"/>
            </c:ext>
          </c:extLst>
        </c:ser>
        <c:dLbls>
          <c:showLegendKey val="0"/>
          <c:showVal val="0"/>
          <c:showCatName val="0"/>
          <c:showSerName val="0"/>
          <c:showPercent val="0"/>
          <c:showBubbleSize val="0"/>
        </c:dLbls>
        <c:gapWidth val="182"/>
        <c:axId val="73418310"/>
        <c:axId val="8826213"/>
      </c:barChart>
      <c:catAx>
        <c:axId val="73418310"/>
        <c:scaling>
          <c:orientation val="minMax"/>
        </c:scaling>
        <c:delete val="0"/>
        <c:axPos val="l"/>
        <c:numFmt formatCode="General" sourceLinked="0"/>
        <c:majorTickMark val="none"/>
        <c:minorTickMark val="none"/>
        <c:tickLblPos val="nextTo"/>
        <c:spPr>
          <a:ln w="9360">
            <a:solidFill>
              <a:srgbClr val="D9D9D9"/>
            </a:solidFill>
            <a:round/>
          </a:ln>
        </c:spPr>
        <c:txPr>
          <a:bodyPr/>
          <a:lstStyle/>
          <a:p>
            <a:pPr>
              <a:defRPr sz="900" b="0" u="none" strike="noStrike">
                <a:solidFill>
                  <a:srgbClr val="595959"/>
                </a:solidFill>
                <a:uFillTx/>
                <a:latin typeface="Trebuchet MS"/>
                <a:ea typeface="Arial"/>
              </a:defRPr>
            </a:pPr>
            <a:endParaRPr lang="en-US"/>
          </a:p>
        </c:txPr>
        <c:crossAx val="8826213"/>
        <c:crosses val="autoZero"/>
        <c:auto val="1"/>
        <c:lblAlgn val="ctr"/>
        <c:lblOffset val="100"/>
        <c:noMultiLvlLbl val="0"/>
      </c:catAx>
      <c:valAx>
        <c:axId val="8826213"/>
        <c:scaling>
          <c:orientation val="minMax"/>
        </c:scaling>
        <c:delete val="0"/>
        <c:axPos val="b"/>
        <c:majorGridlines>
          <c:spPr>
            <a:ln w="9360">
              <a:solidFill>
                <a:srgbClr val="D9D9D9"/>
              </a:solidFill>
              <a:round/>
            </a:ln>
          </c:spPr>
        </c:majorGridlines>
        <c:numFmt formatCode="#,##0" sourceLinked="0"/>
        <c:majorTickMark val="none"/>
        <c:minorTickMark val="none"/>
        <c:tickLblPos val="nextTo"/>
        <c:spPr>
          <a:ln w="9360">
            <a:noFill/>
          </a:ln>
        </c:spPr>
        <c:txPr>
          <a:bodyPr/>
          <a:lstStyle/>
          <a:p>
            <a:pPr>
              <a:defRPr sz="900" b="0" u="none" strike="noStrike">
                <a:solidFill>
                  <a:srgbClr val="595959"/>
                </a:solidFill>
                <a:uFillTx/>
                <a:latin typeface="Trebuchet MS"/>
                <a:ea typeface="Arial"/>
              </a:defRPr>
            </a:pPr>
            <a:endParaRPr lang="en-US"/>
          </a:p>
        </c:txPr>
        <c:crossAx val="73418310"/>
        <c:crosses val="autoZero"/>
        <c:crossBetween val="between"/>
      </c:valAx>
      <c:spPr>
        <a:noFill/>
        <a:ln w="0">
          <a:noFill/>
        </a:ln>
      </c:spPr>
    </c:plotArea>
    <c:legend>
      <c:legendPos val="b"/>
      <c:overlay val="0"/>
      <c:spPr>
        <a:noFill/>
        <a:ln w="0">
          <a:noFill/>
        </a:ln>
      </c:spPr>
      <c:txPr>
        <a:bodyPr/>
        <a:lstStyle/>
        <a:p>
          <a:pPr>
            <a:defRPr sz="900" b="0" u="none" strike="noStrike">
              <a:solidFill>
                <a:srgbClr val="595959"/>
              </a:solidFill>
              <a:uFillTx/>
              <a:latin typeface="Trebuchet MS"/>
              <a:ea typeface="Arial"/>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spPr>
            <a:solidFill>
              <a:srgbClr val="67BCD1"/>
            </a:solidFill>
            <a:ln w="12600">
              <a:noFill/>
            </a:ln>
          </c:spPr>
          <c:invertIfNegative val="0"/>
          <c:dLbls>
            <c:spPr>
              <a:noFill/>
              <a:ln>
                <a:noFill/>
              </a:ln>
              <a:effectLst/>
            </c:spPr>
            <c:txPr>
              <a:bodyPr wrap="square"/>
              <a:lstStyle/>
              <a:p>
                <a:pPr>
                  <a:defRPr sz="900" b="0" u="none" strike="noStrike">
                    <a:solidFill>
                      <a:srgbClr val="404040"/>
                    </a:solidFill>
                    <a:uFillTx/>
                    <a:latin typeface="Trebuchet MS"/>
                    <a:ea typeface="Arial"/>
                  </a:defRPr>
                </a:pPr>
                <a:endParaRPr lang="en-US"/>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000000"/>
                      </a:solidFill>
                    </a:ln>
                  </c:spPr>
                </c15:leaderLines>
              </c:ext>
            </c:extLst>
          </c:dLbls>
          <c:cat>
            <c:strRef>
              <c:f>'Dynamic Table'!$F$1:$G$1</c:f>
              <c:strCache>
                <c:ptCount val="2"/>
                <c:pt idx="0">
                  <c:v>Profit</c:v>
                </c:pt>
                <c:pt idx="1">
                  <c:v>Cumulative</c:v>
                </c:pt>
              </c:strCache>
            </c:strRef>
          </c:cat>
          <c:val>
            <c:numRef>
              <c:f>'Dynamic Table'!$F$2:$G$2</c:f>
              <c:numCache>
                <c:formatCode>#,##0</c:formatCode>
                <c:ptCount val="2"/>
                <c:pt idx="0">
                  <c:v>46794</c:v>
                </c:pt>
                <c:pt idx="1">
                  <c:v>183222</c:v>
                </c:pt>
              </c:numCache>
            </c:numRef>
          </c:val>
          <c:extLst>
            <c:ext xmlns:c16="http://schemas.microsoft.com/office/drawing/2014/chart" uri="{C3380CC4-5D6E-409C-BE32-E72D297353CC}">
              <c16:uniqueId val="{00000000-67C3-4177-935F-AAA172703B58}"/>
            </c:ext>
          </c:extLst>
        </c:ser>
        <c:dLbls>
          <c:showLegendKey val="0"/>
          <c:showVal val="0"/>
          <c:showCatName val="0"/>
          <c:showSerName val="0"/>
          <c:showPercent val="0"/>
          <c:showBubbleSize val="0"/>
        </c:dLbls>
        <c:gapWidth val="219"/>
        <c:overlap val="-27"/>
        <c:axId val="74821995"/>
        <c:axId val="59427528"/>
      </c:barChart>
      <c:catAx>
        <c:axId val="74821995"/>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u="none" strike="noStrike">
                <a:solidFill>
                  <a:srgbClr val="595959"/>
                </a:solidFill>
                <a:uFillTx/>
                <a:latin typeface="Trebuchet MS"/>
                <a:ea typeface="Arial"/>
              </a:defRPr>
            </a:pPr>
            <a:endParaRPr lang="en-US"/>
          </a:p>
        </c:txPr>
        <c:crossAx val="59427528"/>
        <c:crosses val="autoZero"/>
        <c:auto val="1"/>
        <c:lblAlgn val="ctr"/>
        <c:lblOffset val="100"/>
        <c:noMultiLvlLbl val="0"/>
      </c:catAx>
      <c:valAx>
        <c:axId val="59427528"/>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9360">
            <a:noFill/>
          </a:ln>
        </c:spPr>
        <c:txPr>
          <a:bodyPr/>
          <a:lstStyle/>
          <a:p>
            <a:pPr>
              <a:defRPr sz="900" b="0" u="none" strike="noStrike">
                <a:solidFill>
                  <a:srgbClr val="595959"/>
                </a:solidFill>
                <a:uFillTx/>
                <a:latin typeface="Trebuchet MS"/>
                <a:ea typeface="Arial"/>
              </a:defRPr>
            </a:pPr>
            <a:endParaRPr lang="en-US"/>
          </a:p>
        </c:txPr>
        <c:crossAx val="74821995"/>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130680</xdr:colOff>
      <xdr:row>16</xdr:row>
      <xdr:rowOff>3600</xdr:rowOff>
    </xdr:from>
    <xdr:to>
      <xdr:col>15</xdr:col>
      <xdr:colOff>129240</xdr:colOff>
      <xdr:row>21</xdr:row>
      <xdr:rowOff>9000</xdr:rowOff>
    </xdr:to>
    <xdr:graphicFrame macro="">
      <xdr:nvGraphicFramePr>
        <xdr:cNvPr id="2" name="Cash Flow By Month">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482400</xdr:colOff>
      <xdr:row>4</xdr:row>
      <xdr:rowOff>37440</xdr:rowOff>
    </xdr:from>
    <xdr:to>
      <xdr:col>3</xdr:col>
      <xdr:colOff>482400</xdr:colOff>
      <xdr:row>15</xdr:row>
      <xdr:rowOff>56880</xdr:rowOff>
    </xdr:to>
    <xdr:cxnSp macro="">
      <xdr:nvCxnSpPr>
        <xdr:cNvPr id="3" name="Chart border 1">
          <a:extLst>
            <a:ext uri="{FF2B5EF4-FFF2-40B4-BE49-F238E27FC236}">
              <a16:creationId xmlns:a16="http://schemas.microsoft.com/office/drawing/2014/main" id="{00000000-0008-0000-0200-000003000000}"/>
            </a:ext>
          </a:extLst>
        </xdr:cNvPr>
        <xdr:cNvCxnSpPr/>
      </xdr:nvCxnSpPr>
      <xdr:spPr>
        <a:xfrm>
          <a:off x="4616280" y="1504440"/>
          <a:ext cx="360" cy="2524680"/>
        </a:xfrm>
        <a:prstGeom prst="straightConnector1">
          <a:avLst/>
        </a:prstGeom>
        <a:ln w="12700">
          <a:solidFill>
            <a:srgbClr val="D9D9D9"/>
          </a:solidFill>
          <a:round/>
        </a:ln>
      </xdr:spPr>
    </xdr:cxnSp>
    <xdr:clientData/>
  </xdr:twoCellAnchor>
  <xdr:twoCellAnchor editAs="oneCell">
    <xdr:from>
      <xdr:col>12</xdr:col>
      <xdr:colOff>82800</xdr:colOff>
      <xdr:row>4</xdr:row>
      <xdr:rowOff>37440</xdr:rowOff>
    </xdr:from>
    <xdr:to>
      <xdr:col>12</xdr:col>
      <xdr:colOff>82800</xdr:colOff>
      <xdr:row>15</xdr:row>
      <xdr:rowOff>56880</xdr:rowOff>
    </xdr:to>
    <xdr:cxnSp macro="">
      <xdr:nvCxnSpPr>
        <xdr:cNvPr id="4" name="Chart border 2">
          <a:extLst>
            <a:ext uri="{FF2B5EF4-FFF2-40B4-BE49-F238E27FC236}">
              <a16:creationId xmlns:a16="http://schemas.microsoft.com/office/drawing/2014/main" id="{00000000-0008-0000-0200-000004000000}"/>
            </a:ext>
          </a:extLst>
        </xdr:cNvPr>
        <xdr:cNvCxnSpPr/>
      </xdr:nvCxnSpPr>
      <xdr:spPr>
        <a:xfrm>
          <a:off x="9017280" y="1504440"/>
          <a:ext cx="360" cy="2524680"/>
        </a:xfrm>
        <a:prstGeom prst="straightConnector1">
          <a:avLst/>
        </a:prstGeom>
        <a:ln w="12700">
          <a:solidFill>
            <a:srgbClr val="D9D9D9"/>
          </a:solidFill>
          <a:round/>
        </a:ln>
      </xdr:spPr>
    </xdr:cxnSp>
    <xdr:clientData/>
  </xdr:twoCellAnchor>
  <xdr:twoCellAnchor editAs="oneCell">
    <xdr:from>
      <xdr:col>1</xdr:col>
      <xdr:colOff>0</xdr:colOff>
      <xdr:row>6</xdr:row>
      <xdr:rowOff>9360</xdr:rowOff>
    </xdr:from>
    <xdr:to>
      <xdr:col>3</xdr:col>
      <xdr:colOff>428400</xdr:colOff>
      <xdr:row>20</xdr:row>
      <xdr:rowOff>9000</xdr:rowOff>
    </xdr:to>
    <xdr:graphicFrame macro="">
      <xdr:nvGraphicFramePr>
        <xdr:cNvPr id="5" name="Chart 7">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6</xdr:row>
      <xdr:rowOff>9360</xdr:rowOff>
    </xdr:from>
    <xdr:to>
      <xdr:col>12</xdr:col>
      <xdr:colOff>18720</xdr:colOff>
      <xdr:row>20</xdr:row>
      <xdr:rowOff>9000</xdr:rowOff>
    </xdr:to>
    <xdr:graphicFrame macro="">
      <xdr:nvGraphicFramePr>
        <xdr:cNvPr id="6" name="Chart 8">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133200</xdr:colOff>
      <xdr:row>6</xdr:row>
      <xdr:rowOff>9360</xdr:rowOff>
    </xdr:from>
    <xdr:to>
      <xdr:col>19</xdr:col>
      <xdr:colOff>551880</xdr:colOff>
      <xdr:row>20</xdr:row>
      <xdr:rowOff>28080</xdr:rowOff>
    </xdr:to>
    <xdr:graphicFrame macro="">
      <xdr:nvGraphicFramePr>
        <xdr:cNvPr id="7" name="Chart 10">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0.17881</cdr:y>
    </cdr:from>
    <cdr:to>
      <cdr:x>0.11676</cdr:x>
      <cdr:y>0.50751</cdr:y>
    </cdr:to>
    <cdr:sp macro="" textlink="">
      <cdr:nvSpPr>
        <cdr:cNvPr id="2" name="TextBox 3"/>
        <cdr:cNvSpPr/>
      </cdr:nvSpPr>
      <cdr:spPr>
        <a:xfrm xmlns:a="http://schemas.openxmlformats.org/drawingml/2006/main">
          <a:off x="0" y="171360"/>
          <a:ext cx="1224360" cy="315000"/>
        </a:xfrm>
        <a:prstGeom xmlns:a="http://schemas.openxmlformats.org/drawingml/2006/main" prst="rect">
          <a:avLst/>
        </a:prstGeom>
        <a:noFill xmlns:a="http://schemas.openxmlformats.org/drawingml/2006/main"/>
        <a:ln xmlns:a="http://schemas.openxmlformats.org/drawingml/2006/main" w="0">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wrap="none" lIns="90000" tIns="45000" rIns="90000" bIns="45000" anchor="t">
          <a:spAutoFit/>
        </a:bodyPr>
        <a:lstStyle xmlns:a="http://schemas.openxmlformats.org/drawingml/2006/main"/>
        <a:p xmlns:a="http://schemas.openxmlformats.org/drawingml/2006/main">
          <a:pPr>
            <a:lnSpc>
              <a:spcPct val="100000"/>
            </a:lnSpc>
            <a:tabLst>
              <a:tab pos="0" algn="l"/>
            </a:tabLst>
          </a:pPr>
          <a:r>
            <a:rPr lang="en-US" sz="1500" b="1" u="none" strike="noStrike">
              <a:solidFill>
                <a:schemeClr val="accent1">
                  <a:lumMod val="50000"/>
                </a:schemeClr>
              </a:solidFill>
              <a:effectLst/>
              <a:uFillTx/>
              <a:latin typeface="Cambria"/>
              <a:ea typeface="Arial"/>
            </a:rPr>
            <a:t>CASH FLOW</a:t>
          </a:r>
          <a:endParaRPr sz="1500" b="0" u="none" strike="noStrike">
            <a:effectLst/>
            <a:uFillTx/>
            <a:latin typeface="Times New Roman"/>
          </a:endParaRPr>
        </a:p>
      </cdr:txBody>
    </cdr:sp>
  </cdr:relSizeAnchor>
</c:userShapes>
</file>

<file path=xl/theme/theme1.xml><?xml version="1.0" encoding="utf-8"?>
<a:theme xmlns:a="http://schemas.openxmlformats.org/drawingml/2006/main" name="Office Theme">
  <a:themeElements>
    <a:clrScheme name="Monthly College Budget">
      <a:dk1>
        <a:srgbClr val="000000"/>
      </a:dk1>
      <a:lt1>
        <a:srgbClr val="FFFFFF"/>
      </a:lt1>
      <a:dk2>
        <a:srgbClr val="000000"/>
      </a:dk2>
      <a:lt2>
        <a:srgbClr val="FFFFFF"/>
      </a:lt2>
      <a:accent1>
        <a:srgbClr val="67BCD1"/>
      </a:accent1>
      <a:accent2>
        <a:srgbClr val="F09912"/>
      </a:accent2>
      <a:accent3>
        <a:srgbClr val="6ECC9E"/>
      </a:accent3>
      <a:accent4>
        <a:srgbClr val="EB4A17"/>
      </a:accent4>
      <a:accent5>
        <a:srgbClr val="9942AC"/>
      </a:accent5>
      <a:accent6>
        <a:srgbClr val="F749A2"/>
      </a:accent6>
      <a:hlink>
        <a:srgbClr val="67BCD1"/>
      </a:hlink>
      <a:folHlink>
        <a:srgbClr val="9942AC"/>
      </a:folHlink>
    </a:clrScheme>
    <a:fontScheme name="Monthly College Budget">
      <a:majorFont>
        <a:latin typeface="Cambria"/>
        <a:ea typeface="Arial"/>
        <a:cs typeface="Arial"/>
      </a:majorFont>
      <a:minorFont>
        <a:latin typeface="Trebuchet MS"/>
        <a:ea typeface="Arial"/>
        <a:cs typeface="Arial"/>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a:path>
          <a:tileRect/>
        </a:gradFill>
        <a:gradFill>
          <a:gsLst>
            <a:gs pos="0">
              <a:schemeClr val="phClr">
                <a:tint val="80000"/>
              </a:schemeClr>
            </a:gs>
            <a:gs pos="100000">
              <a:schemeClr val="phClr">
                <a:shade val="30000"/>
              </a:schemeClr>
            </a:gs>
          </a:gsLst>
          <a:path path="circle">
            <a:fillToRect/>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ECC9E"/>
  </sheetPr>
  <dimension ref="A1:N46"/>
  <sheetViews>
    <sheetView showGridLines="0" topLeftCell="A14" zoomScaleNormal="100" workbookViewId="0">
      <selection activeCell="E4" sqref="E4"/>
    </sheetView>
  </sheetViews>
  <sheetFormatPr defaultColWidth="8.7109375" defaultRowHeight="12.75"/>
  <cols>
    <col min="1" max="1" width="2.7109375" style="1" customWidth="1"/>
    <col min="2" max="2" width="32.140625" style="1" customWidth="1"/>
    <col min="3" max="14" width="11.42578125" style="1" customWidth="1"/>
  </cols>
  <sheetData>
    <row r="1" spans="2:14" ht="21.75">
      <c r="B1" s="76" t="s">
        <v>0</v>
      </c>
      <c r="C1" s="76"/>
    </row>
    <row r="2" spans="2:14">
      <c r="B2" s="2" t="s">
        <v>1</v>
      </c>
      <c r="C2" s="3">
        <v>125</v>
      </c>
    </row>
    <row r="3" spans="2:14">
      <c r="B3" s="2" t="s">
        <v>2</v>
      </c>
      <c r="C3" s="3">
        <v>80</v>
      </c>
    </row>
    <row r="4" spans="2:14">
      <c r="B4" s="2" t="s">
        <v>3</v>
      </c>
      <c r="C4" s="3">
        <v>1245</v>
      </c>
    </row>
    <row r="5" spans="2:14" ht="23.25">
      <c r="B5" s="2" t="s">
        <v>4</v>
      </c>
      <c r="C5" s="3">
        <v>148</v>
      </c>
    </row>
    <row r="6" spans="2:14">
      <c r="B6" s="2" t="s">
        <v>5</v>
      </c>
      <c r="C6" s="3">
        <v>65</v>
      </c>
    </row>
    <row r="7" spans="2:14">
      <c r="B7" s="2" t="s">
        <v>6</v>
      </c>
      <c r="C7" s="3">
        <v>22.5</v>
      </c>
    </row>
    <row r="8" spans="2:14">
      <c r="B8" s="4" t="s">
        <v>7</v>
      </c>
    </row>
    <row r="9" spans="2:14" ht="41.25">
      <c r="B9" s="5" t="s">
        <v>8</v>
      </c>
      <c r="C9" s="6" t="s">
        <v>9</v>
      </c>
      <c r="D9" s="6" t="s">
        <v>10</v>
      </c>
      <c r="E9" s="6" t="s">
        <v>11</v>
      </c>
      <c r="F9" s="6" t="s">
        <v>12</v>
      </c>
      <c r="G9" s="6" t="s">
        <v>13</v>
      </c>
      <c r="H9" s="6" t="s">
        <v>14</v>
      </c>
      <c r="I9" s="6" t="s">
        <v>15</v>
      </c>
      <c r="J9" s="6" t="s">
        <v>16</v>
      </c>
      <c r="K9" s="6" t="s">
        <v>17</v>
      </c>
      <c r="L9" s="6" t="s">
        <v>18</v>
      </c>
      <c r="M9" s="6" t="s">
        <v>19</v>
      </c>
      <c r="N9" s="6" t="s">
        <v>20</v>
      </c>
    </row>
    <row r="10" spans="2:14">
      <c r="B10" s="2" t="s">
        <v>1</v>
      </c>
      <c r="C10" s="3">
        <v>62</v>
      </c>
      <c r="D10" s="3">
        <v>54</v>
      </c>
      <c r="E10" s="3">
        <v>62</v>
      </c>
      <c r="F10" s="3">
        <v>74</v>
      </c>
      <c r="G10" s="3">
        <v>79</v>
      </c>
      <c r="H10" s="3">
        <v>82</v>
      </c>
      <c r="I10" s="3">
        <v>86</v>
      </c>
      <c r="J10" s="3">
        <v>81</v>
      </c>
      <c r="K10" s="3">
        <v>78</v>
      </c>
      <c r="L10" s="3">
        <v>72</v>
      </c>
      <c r="M10" s="3">
        <v>60</v>
      </c>
      <c r="N10" s="3">
        <v>55</v>
      </c>
    </row>
    <row r="11" spans="2:14">
      <c r="B11" s="2" t="s">
        <v>2</v>
      </c>
      <c r="C11" s="3">
        <v>90</v>
      </c>
      <c r="D11" s="3">
        <v>102</v>
      </c>
      <c r="E11" s="3">
        <v>110</v>
      </c>
      <c r="F11" s="3">
        <v>128</v>
      </c>
      <c r="G11" s="3">
        <v>136</v>
      </c>
      <c r="H11" s="3">
        <v>142</v>
      </c>
      <c r="I11" s="3">
        <v>148</v>
      </c>
      <c r="J11" s="3">
        <v>134</v>
      </c>
      <c r="K11" s="3">
        <v>116</v>
      </c>
      <c r="L11" s="3">
        <v>104</v>
      </c>
      <c r="M11" s="3">
        <v>86</v>
      </c>
      <c r="N11" s="3">
        <v>78</v>
      </c>
    </row>
    <row r="12" spans="2:14">
      <c r="B12" s="2" t="s">
        <v>3</v>
      </c>
      <c r="C12" s="3">
        <v>12</v>
      </c>
      <c r="D12" s="3">
        <v>16</v>
      </c>
      <c r="E12" s="3">
        <v>18</v>
      </c>
      <c r="F12" s="3">
        <v>22</v>
      </c>
      <c r="G12" s="3">
        <v>26</v>
      </c>
      <c r="H12" s="3">
        <v>28</v>
      </c>
      <c r="I12" s="3">
        <v>34</v>
      </c>
      <c r="J12" s="3">
        <v>36</v>
      </c>
      <c r="K12" s="3">
        <v>28</v>
      </c>
      <c r="L12" s="3">
        <v>18</v>
      </c>
      <c r="M12" s="3">
        <v>14</v>
      </c>
      <c r="N12" s="3">
        <v>10</v>
      </c>
    </row>
    <row r="13" spans="2:14" ht="23.25">
      <c r="B13" s="2" t="s">
        <v>4</v>
      </c>
      <c r="C13" s="3">
        <v>50</v>
      </c>
      <c r="D13" s="3">
        <v>47</v>
      </c>
      <c r="E13" s="3">
        <v>52</v>
      </c>
      <c r="F13" s="3">
        <v>61</v>
      </c>
      <c r="G13" s="3">
        <v>63</v>
      </c>
      <c r="H13" s="3">
        <v>66</v>
      </c>
      <c r="I13" s="3">
        <v>70</v>
      </c>
      <c r="J13" s="3">
        <v>62</v>
      </c>
      <c r="K13" s="3">
        <v>56</v>
      </c>
      <c r="L13" s="3">
        <v>53</v>
      </c>
      <c r="M13" s="3">
        <v>48</v>
      </c>
      <c r="N13" s="3">
        <v>44</v>
      </c>
    </row>
    <row r="14" spans="2:14">
      <c r="B14" s="2" t="s">
        <v>5</v>
      </c>
      <c r="C14" s="3">
        <v>37</v>
      </c>
      <c r="D14" s="3">
        <v>33</v>
      </c>
      <c r="E14" s="3">
        <v>28</v>
      </c>
      <c r="F14" s="3">
        <v>31</v>
      </c>
      <c r="G14" s="3">
        <v>34</v>
      </c>
      <c r="H14" s="3">
        <v>40</v>
      </c>
      <c r="I14" s="3">
        <v>48</v>
      </c>
      <c r="J14" s="3">
        <v>53</v>
      </c>
      <c r="K14" s="3">
        <v>34</v>
      </c>
      <c r="L14" s="3">
        <v>37</v>
      </c>
      <c r="M14" s="3">
        <v>46</v>
      </c>
      <c r="N14" s="3">
        <v>54</v>
      </c>
    </row>
    <row r="15" spans="2:14">
      <c r="B15" s="2" t="s">
        <v>6</v>
      </c>
      <c r="C15" s="3">
        <v>47</v>
      </c>
      <c r="D15" s="3">
        <v>58</v>
      </c>
      <c r="E15" s="3">
        <v>56</v>
      </c>
      <c r="F15" s="3">
        <v>64</v>
      </c>
      <c r="G15" s="3">
        <v>62</v>
      </c>
      <c r="H15" s="3">
        <v>68</v>
      </c>
      <c r="I15" s="3">
        <v>79</v>
      </c>
      <c r="J15" s="3">
        <v>80</v>
      </c>
      <c r="K15" s="3">
        <v>67</v>
      </c>
      <c r="L15" s="3">
        <v>59</v>
      </c>
      <c r="M15" s="3">
        <v>48</v>
      </c>
      <c r="N15" s="3">
        <v>42</v>
      </c>
    </row>
    <row r="17" spans="2:14" ht="21.75">
      <c r="B17" s="7" t="s">
        <v>21</v>
      </c>
      <c r="C17" s="8" t="s">
        <v>9</v>
      </c>
      <c r="D17" s="8" t="s">
        <v>10</v>
      </c>
      <c r="E17" s="8" t="s">
        <v>11</v>
      </c>
      <c r="F17" s="8" t="s">
        <v>12</v>
      </c>
      <c r="G17" s="8" t="s">
        <v>13</v>
      </c>
      <c r="H17" s="8" t="s">
        <v>14</v>
      </c>
      <c r="I17" s="8" t="s">
        <v>15</v>
      </c>
      <c r="J17" s="8" t="s">
        <v>16</v>
      </c>
      <c r="K17" s="8" t="s">
        <v>17</v>
      </c>
      <c r="L17" s="8" t="s">
        <v>18</v>
      </c>
      <c r="M17" s="8" t="s">
        <v>19</v>
      </c>
      <c r="N17" s="8" t="s">
        <v>20</v>
      </c>
    </row>
    <row r="18" spans="2:14" ht="15">
      <c r="B18" s="75" t="s">
        <v>22</v>
      </c>
      <c r="C18" s="9">
        <f>0.6*'Yearly Forecast'!C33</f>
        <v>634.5</v>
      </c>
      <c r="D18" s="9">
        <f>0.6*'Yearly Forecast'!D33</f>
        <v>783</v>
      </c>
      <c r="E18" s="9">
        <f>0.6*'Yearly Forecast'!E33</f>
        <v>756</v>
      </c>
      <c r="F18" s="9">
        <f>0.6*'Yearly Forecast'!F33</f>
        <v>864</v>
      </c>
      <c r="G18" s="9">
        <f>0.6*'Yearly Forecast'!G33</f>
        <v>837</v>
      </c>
      <c r="H18" s="9">
        <f>0.6*'Yearly Forecast'!H33</f>
        <v>918</v>
      </c>
      <c r="I18" s="9">
        <f>0.6*'Yearly Forecast'!I33</f>
        <v>1066.5</v>
      </c>
      <c r="J18" s="9">
        <f>0.6*'Yearly Forecast'!J33</f>
        <v>1080</v>
      </c>
      <c r="K18" s="9">
        <f>0.6*'Yearly Forecast'!K33</f>
        <v>904.5</v>
      </c>
      <c r="L18" s="9">
        <f>0.6*'Yearly Forecast'!L33</f>
        <v>796.5</v>
      </c>
      <c r="M18" s="9">
        <f>0.6*'Yearly Forecast'!M33</f>
        <v>648</v>
      </c>
      <c r="N18" s="9">
        <f>0.6*'Yearly Forecast'!N33</f>
        <v>567</v>
      </c>
    </row>
    <row r="19" spans="2:14" ht="15">
      <c r="B19" s="75" t="s">
        <v>23</v>
      </c>
      <c r="C19" s="9">
        <f>SUM($G$42:$G$46)</f>
        <v>20944</v>
      </c>
      <c r="D19" s="9">
        <f>SUM($G$42:$G$46)</f>
        <v>20944</v>
      </c>
      <c r="E19" s="9">
        <f>SUM($G$42:$G$46)</f>
        <v>20944</v>
      </c>
      <c r="F19" s="9">
        <f>SUM($G$42:$G$46)</f>
        <v>20944</v>
      </c>
      <c r="G19" s="9">
        <f>SUM($G$42:$G$46)</f>
        <v>20944</v>
      </c>
      <c r="H19" s="9">
        <f>SUM($G$42:$G$46)</f>
        <v>20944</v>
      </c>
      <c r="I19" s="9">
        <f>SUM($G$42:$G$46)</f>
        <v>20944</v>
      </c>
      <c r="J19" s="9">
        <f>SUM($G$42:$G$46)</f>
        <v>20944</v>
      </c>
      <c r="K19" s="9">
        <f>SUM($G$42:$G$46)</f>
        <v>20944</v>
      </c>
      <c r="L19" s="9">
        <f>SUM($G$42:$G$46)</f>
        <v>20944</v>
      </c>
      <c r="M19" s="9">
        <f>SUM($G$42:$G$46)</f>
        <v>20944</v>
      </c>
      <c r="N19" s="9">
        <f>SUM($G$42:$G$46)</f>
        <v>20944</v>
      </c>
    </row>
    <row r="20" spans="2:14">
      <c r="B20" s="2" t="s">
        <v>24</v>
      </c>
      <c r="C20" s="9">
        <f>C19*0.185</f>
        <v>3874.64</v>
      </c>
      <c r="D20" s="9">
        <f>D19*0.185</f>
        <v>3874.64</v>
      </c>
      <c r="E20" s="9">
        <f>E19*0.185</f>
        <v>3874.64</v>
      </c>
      <c r="F20" s="9">
        <f>F19*0.185</f>
        <v>3874.64</v>
      </c>
      <c r="G20" s="9">
        <f>G19*0.185</f>
        <v>3874.64</v>
      </c>
      <c r="H20" s="9">
        <f>H19*0.185</f>
        <v>3874.64</v>
      </c>
      <c r="I20" s="9">
        <f>I19*0.185</f>
        <v>3874.64</v>
      </c>
      <c r="J20" s="9">
        <f>J19*0.185</f>
        <v>3874.64</v>
      </c>
      <c r="K20" s="9">
        <f>K19*0.185</f>
        <v>3874.64</v>
      </c>
      <c r="L20" s="9">
        <f>L19*0.185</f>
        <v>3874.64</v>
      </c>
      <c r="M20" s="9">
        <f>M19*0.185</f>
        <v>3874.64</v>
      </c>
      <c r="N20" s="9">
        <f>N19*0.185</f>
        <v>3874.64</v>
      </c>
    </row>
    <row r="21" spans="2:14">
      <c r="B21" s="2" t="s">
        <v>25</v>
      </c>
      <c r="C21" s="9">
        <v>740</v>
      </c>
      <c r="D21" s="9">
        <v>810</v>
      </c>
      <c r="E21" s="9">
        <v>878</v>
      </c>
      <c r="F21" s="9">
        <v>920</v>
      </c>
      <c r="G21" s="9">
        <v>945</v>
      </c>
      <c r="H21" s="9">
        <v>1198</v>
      </c>
      <c r="I21" s="9">
        <v>1285</v>
      </c>
      <c r="J21" s="9">
        <v>1074</v>
      </c>
      <c r="K21" s="9">
        <v>867</v>
      </c>
      <c r="L21" s="9">
        <v>840</v>
      </c>
      <c r="M21" s="9">
        <v>810</v>
      </c>
      <c r="N21" s="9">
        <v>790</v>
      </c>
    </row>
    <row r="22" spans="2:14">
      <c r="B22" s="2" t="s">
        <v>26</v>
      </c>
      <c r="C22" s="9">
        <v>2400</v>
      </c>
      <c r="D22" s="9">
        <v>2400</v>
      </c>
      <c r="E22" s="9">
        <v>2400</v>
      </c>
      <c r="F22" s="9">
        <v>2400</v>
      </c>
      <c r="G22" s="9">
        <v>2400</v>
      </c>
      <c r="H22" s="9">
        <v>2400</v>
      </c>
      <c r="I22" s="9">
        <v>2400</v>
      </c>
      <c r="J22" s="9">
        <v>2400</v>
      </c>
      <c r="K22" s="9">
        <v>2400</v>
      </c>
      <c r="L22" s="9">
        <v>2400</v>
      </c>
      <c r="M22" s="9">
        <v>2400</v>
      </c>
      <c r="N22" s="9">
        <v>2400</v>
      </c>
    </row>
    <row r="23" spans="2:14" ht="24.75">
      <c r="B23" s="75" t="s">
        <v>27</v>
      </c>
      <c r="C23" s="9">
        <v>480</v>
      </c>
      <c r="D23" s="9">
        <v>420</v>
      </c>
      <c r="E23" s="9">
        <v>360</v>
      </c>
      <c r="F23" s="9">
        <v>310</v>
      </c>
      <c r="G23" s="9">
        <v>280</v>
      </c>
      <c r="H23" s="9">
        <v>320</v>
      </c>
      <c r="I23" s="9">
        <v>360</v>
      </c>
      <c r="J23" s="9">
        <v>400</v>
      </c>
      <c r="K23" s="9">
        <v>345</v>
      </c>
      <c r="L23" s="9">
        <v>290</v>
      </c>
      <c r="M23" s="9">
        <v>320</v>
      </c>
      <c r="N23" s="9">
        <v>400</v>
      </c>
    </row>
    <row r="24" spans="2:14">
      <c r="B24" s="2" t="s">
        <v>28</v>
      </c>
      <c r="C24" s="9">
        <v>230</v>
      </c>
      <c r="D24" s="9">
        <v>230</v>
      </c>
      <c r="E24" s="9">
        <v>230</v>
      </c>
      <c r="F24" s="9">
        <v>230</v>
      </c>
      <c r="G24" s="9">
        <v>230</v>
      </c>
      <c r="H24" s="9">
        <v>230</v>
      </c>
      <c r="I24" s="9">
        <v>270</v>
      </c>
      <c r="J24" s="9">
        <v>270</v>
      </c>
      <c r="K24" s="9">
        <v>270</v>
      </c>
      <c r="L24" s="9">
        <v>270</v>
      </c>
      <c r="M24" s="9">
        <v>270</v>
      </c>
      <c r="N24" s="9">
        <v>270</v>
      </c>
    </row>
    <row r="25" spans="2:14">
      <c r="B25" s="2" t="s">
        <v>29</v>
      </c>
      <c r="C25" s="9">
        <v>1600</v>
      </c>
      <c r="D25" s="9">
        <v>1600</v>
      </c>
      <c r="E25" s="9">
        <v>1600</v>
      </c>
      <c r="F25" s="9">
        <v>1600</v>
      </c>
      <c r="G25" s="9">
        <v>1600</v>
      </c>
      <c r="H25" s="9">
        <v>1600</v>
      </c>
      <c r="I25" s="9">
        <v>1600</v>
      </c>
      <c r="J25" s="9">
        <v>1600</v>
      </c>
      <c r="K25" s="9">
        <v>1600</v>
      </c>
      <c r="L25" s="9">
        <v>1600</v>
      </c>
      <c r="M25" s="9">
        <v>1600</v>
      </c>
      <c r="N25" s="9">
        <v>1600</v>
      </c>
    </row>
    <row r="26" spans="2:14">
      <c r="B26" s="2" t="s">
        <v>30</v>
      </c>
      <c r="C26" s="9">
        <v>164</v>
      </c>
      <c r="D26" s="9">
        <v>92</v>
      </c>
      <c r="E26" s="9">
        <v>187</v>
      </c>
      <c r="F26" s="9">
        <v>228</v>
      </c>
      <c r="G26" s="9">
        <v>336</v>
      </c>
      <c r="H26" s="9">
        <v>294</v>
      </c>
      <c r="I26" s="9">
        <v>397</v>
      </c>
      <c r="J26" s="9">
        <v>188</v>
      </c>
      <c r="K26" s="9">
        <v>142</v>
      </c>
      <c r="L26" s="9">
        <v>116</v>
      </c>
      <c r="M26" s="9">
        <v>98</v>
      </c>
      <c r="N26" s="9">
        <v>113</v>
      </c>
    </row>
    <row r="27" spans="2:14">
      <c r="B27" s="2" t="s">
        <v>31</v>
      </c>
      <c r="C27" s="9"/>
      <c r="D27" s="9"/>
      <c r="E27" s="9">
        <v>200</v>
      </c>
      <c r="F27" s="9"/>
      <c r="G27" s="9"/>
      <c r="H27" s="9">
        <v>180</v>
      </c>
      <c r="I27" s="9"/>
      <c r="J27" s="9"/>
      <c r="K27" s="9"/>
      <c r="L27" s="9">
        <v>300</v>
      </c>
      <c r="M27" s="9"/>
      <c r="N27" s="9"/>
    </row>
    <row r="28" spans="2:14">
      <c r="B28" s="2" t="s">
        <v>32</v>
      </c>
      <c r="C28" s="9">
        <v>80</v>
      </c>
      <c r="D28" s="9">
        <v>80</v>
      </c>
      <c r="E28" s="9">
        <v>80</v>
      </c>
      <c r="F28" s="9">
        <v>80</v>
      </c>
      <c r="G28" s="9">
        <v>80</v>
      </c>
      <c r="H28" s="9">
        <v>80</v>
      </c>
      <c r="I28" s="9">
        <v>425</v>
      </c>
      <c r="J28" s="9">
        <v>80</v>
      </c>
      <c r="K28" s="9">
        <v>80</v>
      </c>
      <c r="L28" s="9">
        <v>80</v>
      </c>
      <c r="M28" s="9">
        <v>80</v>
      </c>
      <c r="N28" s="9">
        <v>2685</v>
      </c>
    </row>
    <row r="29" spans="2:14">
      <c r="B29" s="2" t="s">
        <v>33</v>
      </c>
      <c r="C29" s="9">
        <v>1065</v>
      </c>
      <c r="D29" s="9">
        <v>1065</v>
      </c>
      <c r="E29" s="9">
        <v>1065</v>
      </c>
      <c r="F29" s="9">
        <v>1065</v>
      </c>
      <c r="G29" s="9">
        <v>1065</v>
      </c>
      <c r="H29" s="9">
        <v>1065</v>
      </c>
      <c r="I29" s="9">
        <v>1065</v>
      </c>
      <c r="J29" s="9">
        <v>1065</v>
      </c>
      <c r="K29" s="9">
        <v>1065</v>
      </c>
      <c r="L29" s="9">
        <v>1065</v>
      </c>
      <c r="M29" s="9">
        <v>1065</v>
      </c>
      <c r="N29" s="9">
        <v>1065</v>
      </c>
    </row>
    <row r="30" spans="2:14">
      <c r="B30" s="2" t="s">
        <v>34</v>
      </c>
      <c r="C30" s="9">
        <v>140</v>
      </c>
      <c r="D30" s="9">
        <v>140</v>
      </c>
      <c r="E30" s="9">
        <v>140</v>
      </c>
      <c r="F30" s="9">
        <v>140</v>
      </c>
      <c r="G30" s="9">
        <v>140</v>
      </c>
      <c r="H30" s="9">
        <v>140</v>
      </c>
      <c r="I30" s="9">
        <v>140</v>
      </c>
      <c r="J30" s="9">
        <v>140</v>
      </c>
      <c r="K30" s="9">
        <v>140</v>
      </c>
      <c r="L30" s="9">
        <v>140</v>
      </c>
      <c r="M30" s="9">
        <v>140</v>
      </c>
      <c r="N30" s="9">
        <v>140</v>
      </c>
    </row>
    <row r="31" spans="2:14">
      <c r="B31" s="2" t="s">
        <v>35</v>
      </c>
      <c r="C31" s="9">
        <v>108</v>
      </c>
      <c r="D31" s="9">
        <v>108</v>
      </c>
      <c r="E31" s="9">
        <v>108</v>
      </c>
      <c r="F31" s="9">
        <v>108</v>
      </c>
      <c r="G31" s="9">
        <v>108</v>
      </c>
      <c r="H31" s="9">
        <v>108</v>
      </c>
      <c r="I31" s="9">
        <v>108</v>
      </c>
      <c r="J31" s="9">
        <v>108</v>
      </c>
      <c r="K31" s="9">
        <v>108</v>
      </c>
      <c r="L31" s="9">
        <v>108</v>
      </c>
      <c r="M31" s="9">
        <v>108</v>
      </c>
      <c r="N31" s="9">
        <v>108</v>
      </c>
    </row>
    <row r="32" spans="2:14">
      <c r="B32" s="2" t="s">
        <v>36</v>
      </c>
      <c r="C32" s="9">
        <v>515</v>
      </c>
      <c r="D32" s="9">
        <v>515</v>
      </c>
      <c r="E32" s="9">
        <v>515</v>
      </c>
      <c r="F32" s="9">
        <v>515</v>
      </c>
      <c r="G32" s="9">
        <v>515</v>
      </c>
      <c r="H32" s="9">
        <v>515</v>
      </c>
      <c r="I32" s="9">
        <v>515</v>
      </c>
      <c r="J32" s="9">
        <v>515</v>
      </c>
      <c r="K32" s="9">
        <v>515</v>
      </c>
      <c r="L32" s="9">
        <v>515</v>
      </c>
      <c r="M32" s="9">
        <v>515</v>
      </c>
      <c r="N32" s="9">
        <v>515</v>
      </c>
    </row>
    <row r="33" spans="2:7">
      <c r="B33" s="10" t="s">
        <v>37</v>
      </c>
    </row>
    <row r="34" spans="2:7">
      <c r="B34" s="11" t="s">
        <v>38</v>
      </c>
    </row>
    <row r="35" spans="2:7" ht="15">
      <c r="B35" s="11" t="s">
        <v>39</v>
      </c>
    </row>
    <row r="36" spans="2:7">
      <c r="B36" s="11" t="s">
        <v>40</v>
      </c>
    </row>
    <row r="37" spans="2:7">
      <c r="B37" s="11" t="s">
        <v>41</v>
      </c>
    </row>
    <row r="38" spans="2:7">
      <c r="B38" s="11" t="s">
        <v>42</v>
      </c>
    </row>
    <row r="39" spans="2:7">
      <c r="B39" s="11" t="s">
        <v>43</v>
      </c>
    </row>
    <row r="40" spans="2:7" ht="15">
      <c r="B40" s="11" t="s">
        <v>44</v>
      </c>
    </row>
    <row r="41" spans="2:7" ht="45.75">
      <c r="B41" s="7" t="s">
        <v>45</v>
      </c>
      <c r="C41" s="12" t="s">
        <v>46</v>
      </c>
      <c r="D41" s="12" t="s">
        <v>47</v>
      </c>
      <c r="E41" s="12" t="s">
        <v>48</v>
      </c>
      <c r="F41" s="12" t="s">
        <v>49</v>
      </c>
      <c r="G41" s="12" t="s">
        <v>50</v>
      </c>
    </row>
    <row r="42" spans="2:7">
      <c r="B42" s="2" t="s">
        <v>51</v>
      </c>
      <c r="C42" s="2" t="s">
        <v>52</v>
      </c>
      <c r="D42" s="9">
        <v>5420</v>
      </c>
      <c r="E42" s="9"/>
      <c r="F42" s="9"/>
      <c r="G42" s="9">
        <f>SUM(D42:F42)</f>
        <v>5420</v>
      </c>
    </row>
    <row r="43" spans="2:7">
      <c r="B43" s="2" t="s">
        <v>53</v>
      </c>
      <c r="C43" s="2" t="s">
        <v>52</v>
      </c>
      <c r="D43" s="9">
        <v>6250</v>
      </c>
      <c r="E43" s="9"/>
      <c r="F43" s="9"/>
      <c r="G43" s="9">
        <f>SUM(D43:F43)</f>
        <v>6250</v>
      </c>
    </row>
    <row r="44" spans="2:7" ht="15">
      <c r="B44" s="2" t="s">
        <v>54</v>
      </c>
      <c r="C44" s="2" t="s">
        <v>55</v>
      </c>
      <c r="D44" s="9"/>
      <c r="E44" s="9">
        <v>22</v>
      </c>
      <c r="F44" s="9">
        <v>167</v>
      </c>
      <c r="G44" s="9">
        <f>E44*F44</f>
        <v>3674</v>
      </c>
    </row>
    <row r="45" spans="2:7">
      <c r="B45" s="2" t="s">
        <v>56</v>
      </c>
      <c r="C45" s="2" t="s">
        <v>57</v>
      </c>
      <c r="D45" s="9"/>
      <c r="E45" s="9">
        <v>18</v>
      </c>
      <c r="F45" s="9">
        <v>160</v>
      </c>
      <c r="G45" s="9">
        <f>E45*F45</f>
        <v>2880</v>
      </c>
    </row>
    <row r="46" spans="2:7">
      <c r="B46" s="2" t="s">
        <v>58</v>
      </c>
      <c r="C46" s="2" t="s">
        <v>59</v>
      </c>
      <c r="D46" s="9"/>
      <c r="E46" s="9">
        <v>16</v>
      </c>
      <c r="F46" s="9">
        <v>170</v>
      </c>
      <c r="G46" s="9">
        <f>E46*F46</f>
        <v>2720</v>
      </c>
    </row>
  </sheetData>
  <mergeCells count="1">
    <mergeCell ref="B1:C1"/>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Normal="100" workbookViewId="0">
      <selection activeCell="A2" sqref="A2"/>
    </sheetView>
  </sheetViews>
  <sheetFormatPr defaultColWidth="8.7109375" defaultRowHeight="15"/>
  <cols>
    <col min="2" max="3" width="20.140625" customWidth="1"/>
    <col min="4" max="4" width="36.5703125" customWidth="1"/>
    <col min="5" max="5" width="10.140625" customWidth="1"/>
    <col min="7" max="7" width="10.28515625" customWidth="1"/>
  </cols>
  <sheetData>
    <row r="1" spans="1:7">
      <c r="A1" s="13" t="s">
        <v>60</v>
      </c>
      <c r="B1" s="13" t="s">
        <v>61</v>
      </c>
      <c r="C1" s="13" t="s">
        <v>62</v>
      </c>
      <c r="D1" s="13" t="s">
        <v>63</v>
      </c>
      <c r="E1" s="13" t="s">
        <v>64</v>
      </c>
      <c r="F1" s="13" t="s">
        <v>65</v>
      </c>
      <c r="G1" s="13" t="s">
        <v>66</v>
      </c>
    </row>
    <row r="2" spans="1:7">
      <c r="A2" t="str">
        <f>'Yearly Forecast'!$G$2</f>
        <v>JUL</v>
      </c>
      <c r="B2" t="s">
        <v>50</v>
      </c>
      <c r="C2" t="s">
        <v>50</v>
      </c>
      <c r="D2" s="14">
        <f>ROUND(INDEX('Yearly Forecast'!$C$28:$O$34,MATCH("Total Income", 'Yearly Forecast'!$B$28:$B$34,0),MATCH('Yearly Forecast'!$G$2,'Yearly Forecast'!$C$27:$O$27,0)),0)</f>
        <v>80178</v>
      </c>
      <c r="E2" s="14">
        <f>ROUND(INDEX('Yearly Forecast'!$C$38:$O$52,MATCH("Total Expenses", 'Yearly Forecast'!$B$38:$B$52,0),MATCH('Yearly Forecast'!$G$2,'Yearly Forecast'!$C$36:$O$36,0)),0)</f>
        <v>33384</v>
      </c>
      <c r="F2" s="15">
        <f>ROUND(INDEX('Yearly Forecast'!$C$24:$O$25,MATCH("Profit", 'Yearly Forecast'!$B$24,0),MATCH('Yearly Forecast'!$G$2,'Yearly Forecast'!$C$23:$O$23,0)),0)</f>
        <v>46794</v>
      </c>
      <c r="G2" s="15">
        <f>ROUND(INDEX('Yearly Forecast'!$C$24:$O$25,MATCH("Cumulative profit", 'Yearly Forecast'!$B$24:$B$25,0),MATCH('Yearly Forecast'!$G$2,'Yearly Forecast'!$C$23:$O$23,0)),0)</f>
        <v>183222</v>
      </c>
    </row>
    <row r="3" spans="1:7" ht="19.5">
      <c r="A3" t="str">
        <f>'Yearly Forecast'!$G$2</f>
        <v>JUL</v>
      </c>
      <c r="B3" s="16" t="s">
        <v>67</v>
      </c>
      <c r="C3" t="s">
        <v>68</v>
      </c>
      <c r="D3" s="15">
        <f>ROUND(INDEX('Yearly Forecast'!$C$28:$O$34,MATCH(B3, 'Yearly Forecast'!$B$28:$B$34,0),MATCH('Yearly Forecast'!$G$2,'Yearly Forecast'!$C$27:$O$27,0)),0)</f>
        <v>10750</v>
      </c>
      <c r="E3" s="15">
        <f>ROUND(INDEX('Yearly Forecast'!$C$37:$O$52,MATCH(C3, 'Yearly Forecast'!$B$37:$B$52,0),MATCH('Yearly Forecast'!$G$2,'Yearly Forecast'!$C$36:$O$36,0)),0)</f>
        <v>1067</v>
      </c>
      <c r="F3" s="14"/>
    </row>
    <row r="4" spans="1:7" ht="19.5">
      <c r="A4" t="str">
        <f>'Yearly Forecast'!$G$2</f>
        <v>JUL</v>
      </c>
      <c r="B4" s="17" t="s">
        <v>2</v>
      </c>
      <c r="C4" s="16" t="s">
        <v>69</v>
      </c>
      <c r="D4" s="15">
        <f>ROUND(INDEX('Yearly Forecast'!$C$28:$O$34,MATCH(B4, 'Yearly Forecast'!$B$28:$B$34,0),MATCH('Yearly Forecast'!$G$2,'Yearly Forecast'!$C$27:$O$27,0)),0)</f>
        <v>11840</v>
      </c>
      <c r="E4" s="15">
        <f>ROUND(INDEX('Yearly Forecast'!$C$37:$O$52,MATCH(C4, 'Yearly Forecast'!$B$37:$B$52,0),MATCH('Yearly Forecast'!$G$2,'Yearly Forecast'!$C$36:$O$36,0)),0)</f>
        <v>20944</v>
      </c>
    </row>
    <row r="5" spans="1:7" ht="19.5">
      <c r="A5" t="str">
        <f>'Yearly Forecast'!$G$2</f>
        <v>JUL</v>
      </c>
      <c r="B5" s="17" t="s">
        <v>3</v>
      </c>
      <c r="C5" s="18" t="s">
        <v>70</v>
      </c>
      <c r="D5" s="15">
        <f>ROUND(INDEX('Yearly Forecast'!$C$28:$O$34,MATCH(B5, 'Yearly Forecast'!$B$28:$B$34,0),MATCH('Yearly Forecast'!$G$2,'Yearly Forecast'!$C$27:$O$27,0)),0)</f>
        <v>42330</v>
      </c>
      <c r="E5" s="15">
        <f>ROUND(INDEX('Yearly Forecast'!$C$37:$O$52,MATCH(C5, 'Yearly Forecast'!$B$37:$B$52,0),MATCH('Yearly Forecast'!$G$2,'Yearly Forecast'!$C$36:$O$36,0)),0)</f>
        <v>3875</v>
      </c>
    </row>
    <row r="6" spans="1:7" ht="19.5">
      <c r="A6" t="str">
        <f>'Yearly Forecast'!$G$2</f>
        <v>JUL</v>
      </c>
      <c r="B6" s="17" t="s">
        <v>71</v>
      </c>
      <c r="C6" s="18" t="s">
        <v>72</v>
      </c>
      <c r="D6" s="15">
        <f>ROUND(INDEX('Yearly Forecast'!$C$28:$O$34,MATCH(B6, 'Yearly Forecast'!$B$28:$B$34,0),MATCH('Yearly Forecast'!$G$2,'Yearly Forecast'!$C$27:$O$27,0)),0)</f>
        <v>10360</v>
      </c>
      <c r="E6" s="15">
        <f>ROUND(INDEX('Yearly Forecast'!$C$37:$O$52,MATCH(C6, 'Yearly Forecast'!$B$37:$B$52,0),MATCH('Yearly Forecast'!$G$2,'Yearly Forecast'!$C$36:$O$36,0)),0)</f>
        <v>1285</v>
      </c>
    </row>
    <row r="7" spans="1:7" ht="19.5">
      <c r="A7" t="str">
        <f>'Yearly Forecast'!$G$2</f>
        <v>JUL</v>
      </c>
      <c r="B7" s="19" t="s">
        <v>5</v>
      </c>
      <c r="C7" s="18" t="s">
        <v>26</v>
      </c>
      <c r="D7" s="15">
        <f>ROUND(INDEX('Yearly Forecast'!$C$28:$O$34,MATCH(B7, 'Yearly Forecast'!$B$28:$B$34,0),MATCH('Yearly Forecast'!$G$2,'Yearly Forecast'!$C$27:$O$27,0)),0)</f>
        <v>3120</v>
      </c>
      <c r="E7" s="15">
        <f>ROUND(INDEX('Yearly Forecast'!$C$37:$O$52,MATCH(C7, 'Yearly Forecast'!$B$37:$B$52,0),MATCH('Yearly Forecast'!$G$2,'Yearly Forecast'!$C$36:$O$36,0)),0)</f>
        <v>2400</v>
      </c>
    </row>
    <row r="8" spans="1:7" ht="19.5">
      <c r="A8" t="str">
        <f>'Yearly Forecast'!$G$2</f>
        <v>JUL</v>
      </c>
      <c r="B8" s="16" t="s">
        <v>73</v>
      </c>
      <c r="C8" s="18" t="s">
        <v>74</v>
      </c>
      <c r="D8" s="15">
        <f>ROUND(INDEX('Yearly Forecast'!$C$28:$O$34,MATCH(B8, 'Yearly Forecast'!$B$28:$B$34,0),MATCH('Yearly Forecast'!$G$2,'Yearly Forecast'!$C$27:$O$27,0)),0)</f>
        <v>1778</v>
      </c>
      <c r="E8" s="15">
        <f>ROUND(INDEX('Yearly Forecast'!$C$37:$O$52,MATCH(C8, 'Yearly Forecast'!$B$37:$B$52,0),MATCH('Yearly Forecast'!$G$2,'Yearly Forecast'!$C$36:$O$36,0)),0)</f>
        <v>360</v>
      </c>
    </row>
    <row r="9" spans="1:7" ht="19.5">
      <c r="A9" t="str">
        <f>'Yearly Forecast'!$G$2</f>
        <v>JUL</v>
      </c>
      <c r="C9" s="16" t="s">
        <v>75</v>
      </c>
      <c r="E9" s="15">
        <f>ROUND(INDEX('Yearly Forecast'!$C$37:$O$52,MATCH(C9, 'Yearly Forecast'!$B$37:$B$52,0),MATCH('Yearly Forecast'!$G$2,'Yearly Forecast'!$C$36:$O$36,0)),0)</f>
        <v>270</v>
      </c>
    </row>
    <row r="10" spans="1:7" ht="19.5">
      <c r="A10" t="str">
        <f>'Yearly Forecast'!$G$2</f>
        <v>JUL</v>
      </c>
      <c r="C10" t="s">
        <v>76</v>
      </c>
      <c r="E10" s="15">
        <f>ROUND(INDEX('Yearly Forecast'!$C$37:$O$52,MATCH(C10, 'Yearly Forecast'!$B$37:$B$52,0),MATCH('Yearly Forecast'!$G$2,'Yearly Forecast'!$C$36:$O$36,0)),0)</f>
        <v>1600</v>
      </c>
    </row>
    <row r="11" spans="1:7" ht="19.5">
      <c r="A11" t="str">
        <f>'Yearly Forecast'!$G$2</f>
        <v>JUL</v>
      </c>
      <c r="C11" t="s">
        <v>77</v>
      </c>
      <c r="E11" s="15">
        <f>ROUND(INDEX('Yearly Forecast'!$C$37:$O$52,MATCH(C11, 'Yearly Forecast'!$B$37:$B$52,0),MATCH('Yearly Forecast'!$G$2,'Yearly Forecast'!$C$36:$O$36,0)),0)</f>
        <v>397</v>
      </c>
    </row>
    <row r="12" spans="1:7" ht="19.5">
      <c r="A12" t="str">
        <f>'Yearly Forecast'!$G$2</f>
        <v>JUL</v>
      </c>
      <c r="B12" s="20"/>
      <c r="C12" t="s">
        <v>31</v>
      </c>
      <c r="E12" s="15">
        <f>ROUND(INDEX('Yearly Forecast'!$C$37:$O$52,MATCH(C12, 'Yearly Forecast'!$B$37:$B$52,0),MATCH('Yearly Forecast'!$G$2,'Yearly Forecast'!$C$36:$O$36,0)),0)</f>
        <v>0</v>
      </c>
    </row>
    <row r="13" spans="1:7" ht="19.5">
      <c r="A13" t="str">
        <f>'Yearly Forecast'!$G$2</f>
        <v>JUL</v>
      </c>
      <c r="C13" t="s">
        <v>78</v>
      </c>
      <c r="E13" s="15">
        <f>ROUND(INDEX('Yearly Forecast'!$C$37:$O$52,MATCH(C13, 'Yearly Forecast'!$B$37:$B$52,0),MATCH('Yearly Forecast'!$G$2,'Yearly Forecast'!$C$36:$O$36,0)),0)</f>
        <v>425</v>
      </c>
    </row>
    <row r="14" spans="1:7" ht="19.5">
      <c r="A14" t="str">
        <f>'Yearly Forecast'!$G$2</f>
        <v>JUL</v>
      </c>
      <c r="C14" t="s">
        <v>33</v>
      </c>
      <c r="E14" s="15">
        <f>ROUND(INDEX('Yearly Forecast'!$C$37:$O$52,MATCH(C14, 'Yearly Forecast'!$B$37:$B$52,0),MATCH('Yearly Forecast'!$G$2,'Yearly Forecast'!$C$36:$O$36,0)),0)</f>
        <v>1065</v>
      </c>
    </row>
    <row r="15" spans="1:7" ht="19.5">
      <c r="A15" t="str">
        <f>'Yearly Forecast'!$G$2</f>
        <v>JUL</v>
      </c>
      <c r="B15" s="20"/>
      <c r="C15" t="s">
        <v>34</v>
      </c>
      <c r="E15" s="15">
        <f>ROUND(INDEX('Yearly Forecast'!$C$37:$O$52,MATCH(C15, 'Yearly Forecast'!$B$37:$B$52,0),MATCH('Yearly Forecast'!$G$2,'Yearly Forecast'!$C$36:$O$36,0)),0)</f>
        <v>140</v>
      </c>
    </row>
    <row r="16" spans="1:7" ht="19.5">
      <c r="A16" t="str">
        <f>'Yearly Forecast'!$G$2</f>
        <v>JUL</v>
      </c>
      <c r="C16" t="s">
        <v>35</v>
      </c>
      <c r="E16" s="15">
        <f>ROUND(INDEX('Yearly Forecast'!$C$37:$O$52,MATCH(C16, 'Yearly Forecast'!$B$37:$B$52,0),MATCH('Yearly Forecast'!$G$2,'Yearly Forecast'!$C$36:$O$36,0)),0)</f>
        <v>108</v>
      </c>
    </row>
    <row r="17" spans="1:5" ht="19.5">
      <c r="A17" t="str">
        <f>'Yearly Forecast'!$G$2</f>
        <v>JUL</v>
      </c>
      <c r="C17" t="s">
        <v>36</v>
      </c>
      <c r="E17" s="15">
        <f>ROUND(INDEX('Yearly Forecast'!$C$37:$O$52,MATCH(C17, 'Yearly Forecast'!$B$37:$B$52,0),MATCH('Yearly Forecast'!$G$2,'Yearly Forecast'!$C$36:$O$36,0)),0)</f>
        <v>515</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7BCD1"/>
  </sheetPr>
  <dimension ref="A1:P1048572"/>
  <sheetViews>
    <sheetView showGridLines="0" tabSelected="1" topLeftCell="A22" zoomScaleNormal="100" workbookViewId="0">
      <selection activeCell="D42" sqref="D42"/>
    </sheetView>
  </sheetViews>
  <sheetFormatPr defaultColWidth="9.140625" defaultRowHeight="19.5" customHeight="1"/>
  <cols>
    <col min="1" max="1" width="2.7109375" style="21" customWidth="1"/>
    <col min="2" max="2" width="51.28515625" style="22" customWidth="1"/>
    <col min="3" max="14" width="8" style="22" customWidth="1"/>
    <col min="15" max="15" width="10" style="22" customWidth="1"/>
    <col min="16" max="16" width="11.140625" style="22" customWidth="1"/>
    <col min="17" max="17" width="2.7109375" style="22" customWidth="1"/>
    <col min="18" max="16384" width="9.140625" style="22"/>
  </cols>
  <sheetData>
    <row r="1" spans="1:16" ht="61.5" customHeight="1">
      <c r="A1" s="23"/>
      <c r="B1" s="24" t="s">
        <v>79</v>
      </c>
    </row>
    <row r="2" spans="1:16">
      <c r="A2" s="22"/>
      <c r="B2" s="25" t="s">
        <v>80</v>
      </c>
      <c r="E2" s="77" t="s">
        <v>81</v>
      </c>
      <c r="F2" s="77"/>
      <c r="G2" s="78" t="s">
        <v>82</v>
      </c>
      <c r="H2" s="78"/>
    </row>
    <row r="3" spans="1:16" ht="19.5" customHeight="1">
      <c r="B3" s="26"/>
      <c r="C3" s="26"/>
      <c r="D3" s="26"/>
      <c r="E3" s="26"/>
      <c r="F3" s="26"/>
      <c r="G3" s="26"/>
      <c r="H3" s="26"/>
      <c r="I3" s="26"/>
      <c r="J3" s="26"/>
      <c r="K3" s="26"/>
      <c r="L3" s="26"/>
      <c r="M3" s="26"/>
      <c r="N3" s="26"/>
      <c r="O3" s="26"/>
      <c r="P3" s="26"/>
    </row>
    <row r="4" spans="1:16" ht="15" customHeight="1"/>
    <row r="5" spans="1:16" ht="19.5" customHeight="1">
      <c r="B5" s="27" t="str">
        <f>CONCATENATE(G2," ","Income:")</f>
        <v>JUL Income:</v>
      </c>
      <c r="E5" s="27" t="str">
        <f>CONCATENATE(G2," ","Expenses:")</f>
        <v>JUL Expenses:</v>
      </c>
      <c r="M5" s="27" t="str">
        <f>CONCATENATE(G2," ","Profit:")</f>
        <v>JUL Profit:</v>
      </c>
    </row>
    <row r="6" spans="1:16" ht="38.25" customHeight="1">
      <c r="A6" s="28"/>
      <c r="B6" s="29">
        <f>'Dynamic Table'!D2</f>
        <v>80178</v>
      </c>
      <c r="E6" s="79">
        <f>'Dynamic Table'!E2</f>
        <v>33384</v>
      </c>
      <c r="F6" s="79"/>
      <c r="G6" s="79"/>
      <c r="H6" s="79"/>
      <c r="M6" s="80">
        <f>'Dynamic Table'!F2</f>
        <v>46794</v>
      </c>
      <c r="N6" s="80"/>
      <c r="O6" s="80"/>
      <c r="P6" s="80"/>
    </row>
    <row r="7" spans="1:16" ht="19.5" customHeight="1">
      <c r="B7" s="30"/>
      <c r="C7" s="30"/>
      <c r="D7" s="30"/>
      <c r="E7" s="30"/>
      <c r="F7" s="30"/>
      <c r="G7" s="30"/>
      <c r="H7" s="30"/>
      <c r="I7" s="30"/>
      <c r="J7" s="30"/>
      <c r="K7" s="30"/>
      <c r="L7" s="30"/>
      <c r="M7" s="30"/>
      <c r="N7" s="30"/>
      <c r="O7" s="30"/>
      <c r="P7" s="30"/>
    </row>
    <row r="8" spans="1:16" ht="15" customHeight="1">
      <c r="B8" s="30"/>
      <c r="C8" s="30"/>
      <c r="D8" s="30"/>
      <c r="E8" s="30"/>
      <c r="F8" s="30"/>
      <c r="G8" s="30"/>
      <c r="H8" s="30"/>
      <c r="I8" s="30"/>
      <c r="J8" s="30"/>
      <c r="K8" s="30"/>
      <c r="L8" s="30"/>
      <c r="M8" s="30"/>
      <c r="N8" s="30"/>
      <c r="O8" s="30"/>
      <c r="P8" s="30"/>
    </row>
    <row r="9" spans="1:16" ht="15" customHeight="1">
      <c r="B9" s="30"/>
      <c r="C9" s="30"/>
      <c r="D9" s="30"/>
      <c r="E9" s="30"/>
      <c r="F9" s="30"/>
      <c r="G9" s="30"/>
      <c r="H9" s="30"/>
      <c r="I9" s="30"/>
      <c r="J9" s="30"/>
      <c r="K9" s="30"/>
      <c r="L9" s="30"/>
      <c r="M9" s="30"/>
      <c r="N9" s="30"/>
      <c r="O9" s="30"/>
      <c r="P9" s="30"/>
    </row>
    <row r="10" spans="1:16" ht="15" customHeight="1">
      <c r="B10" s="30"/>
      <c r="C10" s="30"/>
      <c r="D10" s="30"/>
      <c r="E10" s="30"/>
      <c r="F10" s="30"/>
      <c r="G10" s="30"/>
      <c r="H10" s="30"/>
      <c r="I10" s="30"/>
      <c r="J10" s="30"/>
      <c r="K10" s="30"/>
      <c r="L10" s="30"/>
      <c r="M10" s="30"/>
      <c r="N10" s="30"/>
      <c r="O10" s="30"/>
      <c r="P10" s="30"/>
    </row>
    <row r="11" spans="1:16" ht="15" customHeight="1">
      <c r="B11" s="30"/>
      <c r="C11" s="30"/>
      <c r="D11" s="30"/>
      <c r="E11" s="30"/>
      <c r="F11" s="30"/>
      <c r="G11" s="30"/>
      <c r="H11" s="30"/>
      <c r="I11" s="30"/>
      <c r="J11" s="30"/>
      <c r="K11" s="30"/>
      <c r="L11" s="30"/>
      <c r="M11" s="30"/>
      <c r="N11" s="30"/>
      <c r="O11" s="30"/>
      <c r="P11" s="30"/>
    </row>
    <row r="12" spans="1:16" ht="15" customHeight="1">
      <c r="B12" s="30"/>
      <c r="C12" s="30"/>
      <c r="D12" s="30"/>
      <c r="E12" s="30"/>
      <c r="F12" s="30"/>
      <c r="G12" s="30"/>
      <c r="H12" s="30"/>
      <c r="I12" s="30"/>
      <c r="J12" s="30"/>
      <c r="K12" s="30"/>
      <c r="L12" s="30"/>
      <c r="M12" s="30"/>
      <c r="N12" s="30"/>
      <c r="O12" s="30"/>
      <c r="P12" s="30"/>
    </row>
    <row r="13" spans="1:16" ht="15" customHeight="1">
      <c r="B13" s="30"/>
      <c r="C13" s="30"/>
      <c r="D13" s="30"/>
      <c r="E13" s="30"/>
      <c r="F13" s="30"/>
      <c r="G13" s="30"/>
      <c r="H13" s="30"/>
      <c r="I13" s="30"/>
      <c r="J13" s="30"/>
      <c r="K13" s="30"/>
      <c r="L13" s="30"/>
      <c r="M13" s="30"/>
      <c r="N13" s="30"/>
      <c r="O13" s="30"/>
      <c r="P13" s="30"/>
    </row>
    <row r="14" spans="1:16" ht="15" customHeight="1">
      <c r="B14" s="30"/>
      <c r="C14" s="30"/>
      <c r="D14" s="30"/>
      <c r="E14" s="30"/>
      <c r="F14" s="30"/>
      <c r="G14" s="30"/>
      <c r="H14" s="30"/>
      <c r="I14" s="30"/>
      <c r="J14" s="30"/>
      <c r="K14" s="30"/>
      <c r="L14" s="30"/>
      <c r="M14" s="30"/>
      <c r="N14" s="30"/>
      <c r="O14" s="30"/>
      <c r="P14" s="30"/>
    </row>
    <row r="15" spans="1:16" ht="15" customHeight="1">
      <c r="B15" s="30"/>
      <c r="C15" s="30"/>
      <c r="D15" s="30"/>
      <c r="E15" s="30"/>
      <c r="F15" s="30"/>
      <c r="G15" s="30"/>
      <c r="H15" s="30"/>
      <c r="I15" s="30"/>
      <c r="J15" s="30"/>
      <c r="K15" s="30"/>
      <c r="L15" s="30"/>
      <c r="M15" s="30"/>
      <c r="N15" s="30"/>
      <c r="O15" s="30"/>
      <c r="P15" s="30"/>
    </row>
    <row r="16" spans="1:16" ht="15" customHeight="1">
      <c r="B16" s="30"/>
      <c r="C16" s="30"/>
      <c r="D16" s="30"/>
      <c r="E16" s="30"/>
      <c r="F16" s="30"/>
      <c r="G16" s="30"/>
      <c r="H16" s="30"/>
      <c r="I16" s="30"/>
      <c r="J16" s="30"/>
      <c r="K16" s="30"/>
      <c r="L16" s="30"/>
    </row>
    <row r="17" spans="1:16" ht="15" customHeight="1">
      <c r="B17" s="31"/>
      <c r="C17" s="31"/>
      <c r="D17" s="31"/>
      <c r="E17" s="31"/>
      <c r="F17" s="31"/>
      <c r="G17" s="31"/>
      <c r="H17" s="31"/>
      <c r="I17" s="31"/>
      <c r="J17" s="31"/>
      <c r="K17" s="31"/>
      <c r="L17" s="31"/>
      <c r="M17" s="31"/>
      <c r="N17" s="31"/>
      <c r="O17" s="31"/>
      <c r="P17" s="31"/>
    </row>
    <row r="18" spans="1:16" ht="15" customHeight="1">
      <c r="A18" s="28"/>
      <c r="B18" s="31"/>
      <c r="C18" s="31"/>
      <c r="D18" s="31"/>
      <c r="E18" s="31"/>
      <c r="F18" s="31"/>
      <c r="G18" s="31"/>
      <c r="H18" s="31"/>
      <c r="I18" s="31"/>
      <c r="J18" s="31"/>
      <c r="K18" s="31"/>
      <c r="L18" s="31"/>
      <c r="M18" s="31"/>
      <c r="N18" s="31"/>
      <c r="O18" s="31"/>
      <c r="P18" s="31"/>
    </row>
    <row r="19" spans="1:16" ht="15" customHeight="1">
      <c r="B19" s="31"/>
      <c r="C19" s="31"/>
      <c r="D19" s="31"/>
      <c r="E19" s="31"/>
      <c r="F19" s="31"/>
      <c r="G19" s="31"/>
      <c r="H19" s="31"/>
      <c r="I19" s="31"/>
      <c r="J19" s="31"/>
      <c r="K19" s="31"/>
      <c r="L19" s="31"/>
      <c r="M19" s="31"/>
      <c r="N19" s="31"/>
      <c r="O19" s="31"/>
      <c r="P19" s="31"/>
    </row>
    <row r="20" spans="1:16" ht="15" customHeight="1">
      <c r="B20" s="31"/>
      <c r="C20" s="31"/>
      <c r="D20" s="31"/>
      <c r="E20" s="31"/>
      <c r="F20" s="31"/>
      <c r="G20" s="31"/>
      <c r="H20" s="31"/>
      <c r="I20" s="31"/>
      <c r="J20" s="31"/>
      <c r="K20" s="31"/>
      <c r="L20" s="31"/>
      <c r="M20" s="31"/>
      <c r="N20" s="31"/>
      <c r="O20" s="31"/>
      <c r="P20" s="31"/>
    </row>
    <row r="21" spans="1:16" ht="15" customHeight="1">
      <c r="B21" s="26"/>
      <c r="C21" s="26"/>
      <c r="D21" s="26"/>
      <c r="E21" s="26"/>
      <c r="F21" s="26"/>
      <c r="G21" s="26"/>
      <c r="H21" s="26"/>
      <c r="I21" s="26"/>
      <c r="J21" s="26"/>
      <c r="K21" s="26"/>
      <c r="L21" s="26"/>
      <c r="M21" s="26"/>
      <c r="N21" s="26"/>
      <c r="O21" s="26"/>
      <c r="P21" s="26"/>
    </row>
    <row r="22" spans="1:16" ht="15" customHeight="1"/>
    <row r="23" spans="1:16" ht="19.5" customHeight="1">
      <c r="A23" s="28"/>
      <c r="B23" s="32" t="s">
        <v>83</v>
      </c>
      <c r="C23" s="33" t="s">
        <v>84</v>
      </c>
      <c r="D23" s="33" t="s">
        <v>85</v>
      </c>
      <c r="E23" s="33" t="s">
        <v>86</v>
      </c>
      <c r="F23" s="33" t="s">
        <v>87</v>
      </c>
      <c r="G23" s="33" t="s">
        <v>88</v>
      </c>
      <c r="H23" s="33" t="s">
        <v>89</v>
      </c>
      <c r="I23" s="33" t="s">
        <v>82</v>
      </c>
      <c r="J23" s="33" t="s">
        <v>90</v>
      </c>
      <c r="K23" s="33" t="s">
        <v>91</v>
      </c>
      <c r="L23" s="33" t="s">
        <v>92</v>
      </c>
      <c r="M23" s="33" t="s">
        <v>93</v>
      </c>
      <c r="N23" s="33" t="s">
        <v>94</v>
      </c>
      <c r="O23" s="34" t="s">
        <v>95</v>
      </c>
      <c r="P23" s="35" t="s">
        <v>96</v>
      </c>
    </row>
    <row r="24" spans="1:16" ht="19.5" customHeight="1">
      <c r="A24" s="28"/>
      <c r="B24" s="36" t="s">
        <v>65</v>
      </c>
      <c r="C24" s="37">
        <f>C34-C52</f>
        <v>8411.86</v>
      </c>
      <c r="D24" s="37">
        <f>D34-D52</f>
        <v>12957.36</v>
      </c>
      <c r="E24" s="37">
        <f>E34-E52</f>
        <v>17154.36</v>
      </c>
      <c r="F24" s="37">
        <f>F34-F52</f>
        <v>26948.36</v>
      </c>
      <c r="G24" s="37">
        <f>G34-G52</f>
        <v>33536.36</v>
      </c>
      <c r="H24" s="37">
        <f>H34-H52</f>
        <v>37419.360000000001</v>
      </c>
      <c r="I24" s="37">
        <f>I34-I52</f>
        <v>46793.86</v>
      </c>
      <c r="J24" s="37">
        <f>J34-J52</f>
        <v>47427.360000000001</v>
      </c>
      <c r="K24" s="37">
        <f>K34-K52</f>
        <v>33544.86</v>
      </c>
      <c r="L24" s="37">
        <f>L34-L52</f>
        <v>18763.86</v>
      </c>
      <c r="M24" s="37">
        <f>M34-M52</f>
        <v>10759.36</v>
      </c>
      <c r="N24" s="37">
        <f>N34-N52</f>
        <v>1627.3600000000006</v>
      </c>
      <c r="O24" s="37">
        <f>SUM(C24:N24)</f>
        <v>295344.31999999995</v>
      </c>
      <c r="P24" s="38">
        <f>O24/O34</f>
        <v>0.42897339253526906</v>
      </c>
    </row>
    <row r="25" spans="1:16" ht="19.5" customHeight="1">
      <c r="B25" s="39" t="s">
        <v>97</v>
      </c>
      <c r="C25" s="40">
        <f>SUM($C$24:C$24)</f>
        <v>8411.86</v>
      </c>
      <c r="D25" s="40">
        <f>SUM($C$24:D$24)</f>
        <v>21369.22</v>
      </c>
      <c r="E25" s="40">
        <f>SUM($C$24:E$24)</f>
        <v>38523.58</v>
      </c>
      <c r="F25" s="40">
        <f>SUM($C$24:F$24)</f>
        <v>65471.94</v>
      </c>
      <c r="G25" s="40">
        <f>SUM($C$24:G$24)</f>
        <v>99008.3</v>
      </c>
      <c r="H25" s="40">
        <f>SUM($C$24:H$24)</f>
        <v>136427.66</v>
      </c>
      <c r="I25" s="40">
        <f>SUM($C$24:I$24)</f>
        <v>183221.52000000002</v>
      </c>
      <c r="J25" s="40">
        <f>SUM($C$24:J$24)</f>
        <v>230648.88</v>
      </c>
      <c r="K25" s="40">
        <f>SUM($C$24:K$24)</f>
        <v>264193.74</v>
      </c>
      <c r="L25" s="40">
        <f>SUM($C$24:L$24)</f>
        <v>282957.59999999998</v>
      </c>
      <c r="M25" s="40">
        <f>SUM($C$24:M$24)</f>
        <v>293716.95999999996</v>
      </c>
      <c r="N25" s="40">
        <f>SUM($C$24:N$24)</f>
        <v>295344.31999999995</v>
      </c>
      <c r="O25" s="39"/>
      <c r="P25" s="39"/>
    </row>
    <row r="26" spans="1:16" ht="19.5" customHeight="1">
      <c r="B26" s="41"/>
      <c r="C26" s="41"/>
      <c r="D26" s="41"/>
      <c r="E26" s="41"/>
      <c r="F26" s="41"/>
      <c r="G26" s="41"/>
      <c r="H26" s="41"/>
      <c r="I26" s="41"/>
      <c r="J26" s="41"/>
      <c r="K26" s="41"/>
      <c r="L26" s="41"/>
      <c r="M26" s="41"/>
      <c r="N26" s="41"/>
      <c r="O26" s="41"/>
      <c r="P26" s="41"/>
    </row>
    <row r="27" spans="1:16" ht="19.5" customHeight="1">
      <c r="A27" s="28"/>
      <c r="B27" s="42" t="s">
        <v>98</v>
      </c>
      <c r="C27" s="33" t="s">
        <v>84</v>
      </c>
      <c r="D27" s="33" t="s">
        <v>85</v>
      </c>
      <c r="E27" s="33" t="s">
        <v>86</v>
      </c>
      <c r="F27" s="33" t="s">
        <v>87</v>
      </c>
      <c r="G27" s="33" t="s">
        <v>88</v>
      </c>
      <c r="H27" s="33" t="s">
        <v>89</v>
      </c>
      <c r="I27" s="33" t="s">
        <v>82</v>
      </c>
      <c r="J27" s="33" t="s">
        <v>90</v>
      </c>
      <c r="K27" s="33" t="s">
        <v>91</v>
      </c>
      <c r="L27" s="33" t="s">
        <v>92</v>
      </c>
      <c r="M27" s="33" t="s">
        <v>93</v>
      </c>
      <c r="N27" s="33" t="s">
        <v>94</v>
      </c>
      <c r="O27" s="34" t="s">
        <v>95</v>
      </c>
      <c r="P27" s="35" t="s">
        <v>96</v>
      </c>
    </row>
    <row r="28" spans="1:16" ht="19.5" customHeight="1">
      <c r="B28" s="16" t="s">
        <v>67</v>
      </c>
      <c r="C28" s="43">
        <f>Data!$C$2*Data!C10</f>
        <v>7750</v>
      </c>
      <c r="D28" s="43">
        <f>Data!$C$2*Data!D10</f>
        <v>6750</v>
      </c>
      <c r="E28" s="43">
        <f>Data!$C$2*Data!E10</f>
        <v>7750</v>
      </c>
      <c r="F28" s="43">
        <f>Data!$C$2*Data!F10</f>
        <v>9250</v>
      </c>
      <c r="G28" s="43">
        <f>Data!$C$2*Data!G10</f>
        <v>9875</v>
      </c>
      <c r="H28" s="43">
        <f>Data!$C$2*Data!H10</f>
        <v>10250</v>
      </c>
      <c r="I28" s="43">
        <f>Data!$C$2*Data!I10</f>
        <v>10750</v>
      </c>
      <c r="J28" s="43">
        <f>Data!$C$2*Data!J10</f>
        <v>10125</v>
      </c>
      <c r="K28" s="43">
        <f>Data!$C$2*Data!K10</f>
        <v>9750</v>
      </c>
      <c r="L28" s="43">
        <f>Data!$C$2*Data!L10</f>
        <v>9000</v>
      </c>
      <c r="M28" s="43">
        <f>Data!$C$2*Data!M10</f>
        <v>7500</v>
      </c>
      <c r="N28" s="43">
        <f>Data!$C$2*Data!N10</f>
        <v>6875</v>
      </c>
      <c r="O28" s="44">
        <f>SUM(C28:N28)</f>
        <v>105625</v>
      </c>
      <c r="P28" s="45">
        <f>$O28/$O$34</f>
        <v>0.15341522256645329</v>
      </c>
    </row>
    <row r="29" spans="1:16" ht="19.5" customHeight="1">
      <c r="B29" s="17" t="s">
        <v>2</v>
      </c>
      <c r="C29" s="46">
        <f>Data!$C$3*Data!C11</f>
        <v>7200</v>
      </c>
      <c r="D29" s="46">
        <f>Data!$C$3*Data!D11</f>
        <v>8160</v>
      </c>
      <c r="E29" s="46">
        <f>Data!$C$3*Data!E11</f>
        <v>8800</v>
      </c>
      <c r="F29" s="46">
        <f>Data!$C$3*Data!F11</f>
        <v>10240</v>
      </c>
      <c r="G29" s="46">
        <f>Data!$C$3*Data!G11</f>
        <v>10880</v>
      </c>
      <c r="H29" s="46">
        <f>Data!$C$3*Data!H11</f>
        <v>11360</v>
      </c>
      <c r="I29" s="46">
        <f>Data!$C$3*Data!I11</f>
        <v>11840</v>
      </c>
      <c r="J29" s="46">
        <f>Data!$C$3*Data!J11</f>
        <v>10720</v>
      </c>
      <c r="K29" s="46">
        <f>Data!$C$3*Data!K11</f>
        <v>9280</v>
      </c>
      <c r="L29" s="46">
        <f>Data!$C$3*Data!L11</f>
        <v>8320</v>
      </c>
      <c r="M29" s="46">
        <f>Data!$C$3*Data!M11</f>
        <v>6880</v>
      </c>
      <c r="N29" s="46">
        <f>Data!$C$3*Data!N11</f>
        <v>6240</v>
      </c>
      <c r="O29" s="47">
        <f>SUM(C29:N29)</f>
        <v>109920</v>
      </c>
      <c r="P29" s="45">
        <f>$O29/$O$34</f>
        <v>0.15965350309590104</v>
      </c>
    </row>
    <row r="30" spans="1:16" ht="19.5" customHeight="1">
      <c r="B30" s="17" t="s">
        <v>3</v>
      </c>
      <c r="C30" s="46">
        <f>Data!$C$4*Data!C12</f>
        <v>14940</v>
      </c>
      <c r="D30" s="46">
        <f>Data!$C$4*Data!D12</f>
        <v>19920</v>
      </c>
      <c r="E30" s="46">
        <f>Data!$C$4*Data!E12</f>
        <v>22410</v>
      </c>
      <c r="F30" s="46">
        <f>Data!$C$4*Data!F12</f>
        <v>27390</v>
      </c>
      <c r="G30" s="46">
        <f>Data!$C$4*Data!G12</f>
        <v>32370</v>
      </c>
      <c r="H30" s="46">
        <f>Data!$C$4*Data!H12</f>
        <v>34860</v>
      </c>
      <c r="I30" s="46">
        <f>Data!$C$4*Data!I12</f>
        <v>42330</v>
      </c>
      <c r="J30" s="46">
        <f>Data!$C$4*Data!J12</f>
        <v>44820</v>
      </c>
      <c r="K30" s="46">
        <f>Data!$C$4*Data!K12</f>
        <v>34860</v>
      </c>
      <c r="L30" s="46">
        <f>Data!$C$4*Data!L12</f>
        <v>22410</v>
      </c>
      <c r="M30" s="46">
        <f>Data!$C$4*Data!M12</f>
        <v>17430</v>
      </c>
      <c r="N30" s="46">
        <f>Data!$C$4*Data!N12</f>
        <v>12450</v>
      </c>
      <c r="O30" s="47">
        <f>SUM(C30:N30)</f>
        <v>326190</v>
      </c>
      <c r="P30" s="45">
        <f>$O30/$O$34</f>
        <v>0.47377525632143341</v>
      </c>
    </row>
    <row r="31" spans="1:16" ht="19.5" customHeight="1">
      <c r="B31" s="17" t="s">
        <v>71</v>
      </c>
      <c r="C31" s="46">
        <f>Data!$C$5*Data!C13</f>
        <v>7400</v>
      </c>
      <c r="D31" s="46">
        <f>Data!$C$5*Data!D13</f>
        <v>6956</v>
      </c>
      <c r="E31" s="46">
        <f>Data!$C$5*Data!E13</f>
        <v>7696</v>
      </c>
      <c r="F31" s="46">
        <f>Data!$C$5*Data!F13</f>
        <v>9028</v>
      </c>
      <c r="G31" s="46">
        <f>Data!$C$5*Data!G13</f>
        <v>9324</v>
      </c>
      <c r="H31" s="46">
        <f>Data!$C$5*Data!H13</f>
        <v>9768</v>
      </c>
      <c r="I31" s="46">
        <f>Data!$C$5*Data!I13</f>
        <v>10360</v>
      </c>
      <c r="J31" s="46">
        <f>Data!$C$5*Data!J13</f>
        <v>9176</v>
      </c>
      <c r="K31" s="46">
        <f>Data!$C$5*Data!K13</f>
        <v>8288</v>
      </c>
      <c r="L31" s="46">
        <f>Data!$C$5*Data!L13</f>
        <v>7844</v>
      </c>
      <c r="M31" s="46">
        <f>Data!$C$5*Data!M13</f>
        <v>7104</v>
      </c>
      <c r="N31" s="46">
        <f>Data!$C$5*Data!N13</f>
        <v>6512</v>
      </c>
      <c r="O31" s="47">
        <f>SUM(C31:N31)</f>
        <v>99456</v>
      </c>
      <c r="P31" s="45">
        <f>$O31/$O$34</f>
        <v>0.14445504734266679</v>
      </c>
    </row>
    <row r="32" spans="1:16" ht="19.5" customHeight="1">
      <c r="B32" s="19" t="s">
        <v>5</v>
      </c>
      <c r="C32" s="48">
        <f>Data!$C$6*Data!C14</f>
        <v>2405</v>
      </c>
      <c r="D32" s="48">
        <f>Data!$C$6*Data!D14</f>
        <v>2145</v>
      </c>
      <c r="E32" s="48">
        <f>Data!$C$6*Data!E14</f>
        <v>1820</v>
      </c>
      <c r="F32" s="48">
        <f>Data!$C$6*Data!F14</f>
        <v>2015</v>
      </c>
      <c r="G32" s="48">
        <f>Data!$C$6*Data!G14</f>
        <v>2210</v>
      </c>
      <c r="H32" s="48">
        <f>Data!$C$6*Data!H14</f>
        <v>2600</v>
      </c>
      <c r="I32" s="48">
        <f>Data!$C$6*Data!I14</f>
        <v>3120</v>
      </c>
      <c r="J32" s="48">
        <f>Data!$C$6*Data!J14</f>
        <v>3445</v>
      </c>
      <c r="K32" s="48">
        <f>Data!$C$6*Data!K14</f>
        <v>2210</v>
      </c>
      <c r="L32" s="48">
        <f>Data!$C$6*Data!L14</f>
        <v>2405</v>
      </c>
      <c r="M32" s="48">
        <f>Data!$C$6*Data!M14</f>
        <v>2990</v>
      </c>
      <c r="N32" s="48">
        <f>Data!$C$6*Data!N14</f>
        <v>3510</v>
      </c>
      <c r="O32" s="49">
        <f>SUM(C32:N32)</f>
        <v>30875</v>
      </c>
      <c r="P32" s="45">
        <f>$O32/$O$34</f>
        <v>4.4844449673270968E-2</v>
      </c>
    </row>
    <row r="33" spans="1:16" ht="19.5" customHeight="1">
      <c r="B33" s="16" t="s">
        <v>73</v>
      </c>
      <c r="C33" s="43">
        <f>Data!$C$7*Data!C15</f>
        <v>1057.5</v>
      </c>
      <c r="D33" s="43">
        <f>Data!$C$7*Data!D15</f>
        <v>1305</v>
      </c>
      <c r="E33" s="43">
        <f>Data!$C$7*Data!E15</f>
        <v>1260</v>
      </c>
      <c r="F33" s="43">
        <f>Data!$C$7*Data!F15</f>
        <v>1440</v>
      </c>
      <c r="G33" s="43">
        <f>Data!$C$7*Data!G15</f>
        <v>1395</v>
      </c>
      <c r="H33" s="43">
        <f>Data!$C$7*Data!H15</f>
        <v>1530</v>
      </c>
      <c r="I33" s="43">
        <f>Data!$C$7*Data!I15</f>
        <v>1777.5</v>
      </c>
      <c r="J33" s="43">
        <f>Data!$C$7*Data!J15</f>
        <v>1800</v>
      </c>
      <c r="K33" s="43">
        <f>Data!$C$7*Data!K15</f>
        <v>1507.5</v>
      </c>
      <c r="L33" s="43">
        <f>Data!$C$7*Data!L15</f>
        <v>1327.5</v>
      </c>
      <c r="M33" s="43">
        <f>Data!$C$7*Data!M15</f>
        <v>1080</v>
      </c>
      <c r="N33" s="43">
        <f>Data!$C$7*Data!N15</f>
        <v>945</v>
      </c>
      <c r="O33" s="49">
        <f>SUM(C33:N33)</f>
        <v>16425</v>
      </c>
      <c r="P33" s="45">
        <f>$O33/$O$34</f>
        <v>2.3856521000274515E-2</v>
      </c>
    </row>
    <row r="34" spans="1:16" ht="19.5" customHeight="1">
      <c r="B34" s="50" t="s">
        <v>99</v>
      </c>
      <c r="C34" s="51">
        <f>SUM(C28:C33)</f>
        <v>40752.5</v>
      </c>
      <c r="D34" s="51">
        <f>SUM(D28:D33)</f>
        <v>45236</v>
      </c>
      <c r="E34" s="51">
        <f>SUM(E28:E33)</f>
        <v>49736</v>
      </c>
      <c r="F34" s="51">
        <f>SUM(F28:F33)</f>
        <v>59363</v>
      </c>
      <c r="G34" s="51">
        <f>SUM(G28:G33)</f>
        <v>66054</v>
      </c>
      <c r="H34" s="51">
        <f>SUM(H28:H33)</f>
        <v>70368</v>
      </c>
      <c r="I34" s="51">
        <f>SUM(I28:I33)</f>
        <v>80177.5</v>
      </c>
      <c r="J34" s="51">
        <f>SUM(J28:J33)</f>
        <v>80086</v>
      </c>
      <c r="K34" s="51">
        <f>SUM(K28:K33)</f>
        <v>65895.5</v>
      </c>
      <c r="L34" s="51">
        <f>SUM(L28:L33)</f>
        <v>51306.5</v>
      </c>
      <c r="M34" s="51">
        <f>SUM(M28:M33)</f>
        <v>42984</v>
      </c>
      <c r="N34" s="51">
        <f>SUM(N28:N33)</f>
        <v>36532</v>
      </c>
      <c r="O34" s="51">
        <f>SUM(O28:O33)</f>
        <v>688491</v>
      </c>
      <c r="P34" s="52">
        <f>SUM(P28:P33)</f>
        <v>1</v>
      </c>
    </row>
    <row r="35" spans="1:16" ht="19.5" customHeight="1">
      <c r="B35" s="53"/>
      <c r="C35" s="53"/>
      <c r="D35" s="53"/>
      <c r="E35" s="53"/>
      <c r="F35" s="53"/>
      <c r="G35" s="53"/>
      <c r="H35" s="53"/>
      <c r="I35" s="53"/>
      <c r="J35" s="53"/>
      <c r="K35" s="53"/>
      <c r="L35" s="53"/>
      <c r="M35" s="53"/>
      <c r="N35" s="53"/>
      <c r="O35" s="53"/>
      <c r="P35" s="53"/>
    </row>
    <row r="36" spans="1:16" ht="19.5" customHeight="1">
      <c r="B36" s="54" t="s">
        <v>100</v>
      </c>
      <c r="C36" s="33" t="s">
        <v>84</v>
      </c>
      <c r="D36" s="33" t="s">
        <v>85</v>
      </c>
      <c r="E36" s="33" t="s">
        <v>86</v>
      </c>
      <c r="F36" s="33" t="s">
        <v>87</v>
      </c>
      <c r="G36" s="33" t="s">
        <v>88</v>
      </c>
      <c r="H36" s="33" t="s">
        <v>89</v>
      </c>
      <c r="I36" s="33" t="s">
        <v>82</v>
      </c>
      <c r="J36" s="33" t="s">
        <v>90</v>
      </c>
      <c r="K36" s="33" t="s">
        <v>91</v>
      </c>
      <c r="L36" s="33" t="s">
        <v>92</v>
      </c>
      <c r="M36" s="33" t="s">
        <v>93</v>
      </c>
      <c r="N36" s="33" t="s">
        <v>94</v>
      </c>
      <c r="O36" s="34" t="s">
        <v>95</v>
      </c>
      <c r="P36" s="35" t="s">
        <v>101</v>
      </c>
    </row>
    <row r="37" spans="1:16" ht="19.5" customHeight="1">
      <c r="B37" s="55" t="s">
        <v>68</v>
      </c>
      <c r="C37" s="56">
        <f>Data!C18</f>
        <v>634.5</v>
      </c>
      <c r="D37" s="56">
        <f>Data!D18</f>
        <v>783</v>
      </c>
      <c r="E37" s="56">
        <f>Data!E18</f>
        <v>756</v>
      </c>
      <c r="F37" s="56">
        <f>Data!F18</f>
        <v>864</v>
      </c>
      <c r="G37" s="56">
        <f>Data!G18</f>
        <v>837</v>
      </c>
      <c r="H37" s="56">
        <f>Data!H18</f>
        <v>918</v>
      </c>
      <c r="I37" s="56">
        <f>Data!I18</f>
        <v>1066.5</v>
      </c>
      <c r="J37" s="56">
        <f>Data!J18</f>
        <v>1080</v>
      </c>
      <c r="K37" s="56">
        <f>Data!K18</f>
        <v>904.5</v>
      </c>
      <c r="L37" s="56">
        <f>Data!L18</f>
        <v>796.5</v>
      </c>
      <c r="M37" s="56">
        <f>Data!M18</f>
        <v>648</v>
      </c>
      <c r="N37" s="56">
        <f>Data!N18</f>
        <v>567</v>
      </c>
      <c r="O37" s="57">
        <f>SUM(C37:N37)</f>
        <v>9855</v>
      </c>
      <c r="P37" s="58">
        <f>$O37/$O$52</f>
        <v>2.5066980089975578E-2</v>
      </c>
    </row>
    <row r="38" spans="1:16" ht="19.5" customHeight="1">
      <c r="A38" s="28"/>
      <c r="B38" s="55" t="s">
        <v>69</v>
      </c>
      <c r="C38" s="56">
        <f>Data!C19</f>
        <v>20944</v>
      </c>
      <c r="D38" s="56">
        <f>Data!D19</f>
        <v>20944</v>
      </c>
      <c r="E38" s="56">
        <f>Data!E19</f>
        <v>20944</v>
      </c>
      <c r="F38" s="56">
        <f>Data!F19</f>
        <v>20944</v>
      </c>
      <c r="G38" s="56">
        <f>Data!G19</f>
        <v>20944</v>
      </c>
      <c r="H38" s="56">
        <f>Data!H19</f>
        <v>20944</v>
      </c>
      <c r="I38" s="56">
        <f>Data!I19</f>
        <v>20944</v>
      </c>
      <c r="J38" s="56">
        <f>Data!J19</f>
        <v>20944</v>
      </c>
      <c r="K38" s="56">
        <f>Data!K19</f>
        <v>20944</v>
      </c>
      <c r="L38" s="56">
        <f>Data!L19</f>
        <v>20944</v>
      </c>
      <c r="M38" s="56">
        <f>Data!M19</f>
        <v>20944</v>
      </c>
      <c r="N38" s="56">
        <f>Data!N19</f>
        <v>20944</v>
      </c>
      <c r="O38" s="57">
        <f>SUM(C38:N38)</f>
        <v>251328</v>
      </c>
      <c r="P38" s="58">
        <f>$O38/$O$52</f>
        <v>0.63927285358228136</v>
      </c>
    </row>
    <row r="39" spans="1:16" ht="19.5" customHeight="1">
      <c r="A39" s="28"/>
      <c r="B39" s="55" t="s">
        <v>70</v>
      </c>
      <c r="C39" s="56">
        <f>Data!C20</f>
        <v>3874.64</v>
      </c>
      <c r="D39" s="56">
        <f>Data!D20</f>
        <v>3874.64</v>
      </c>
      <c r="E39" s="56">
        <f>Data!E20</f>
        <v>3874.64</v>
      </c>
      <c r="F39" s="56">
        <f>Data!F20</f>
        <v>3874.64</v>
      </c>
      <c r="G39" s="56">
        <f>Data!G20</f>
        <v>3874.64</v>
      </c>
      <c r="H39" s="56">
        <f>Data!H20</f>
        <v>3874.64</v>
      </c>
      <c r="I39" s="56">
        <f>Data!I20</f>
        <v>3874.64</v>
      </c>
      <c r="J39" s="56">
        <f>Data!J20</f>
        <v>3874.64</v>
      </c>
      <c r="K39" s="56">
        <f>Data!K20</f>
        <v>3874.64</v>
      </c>
      <c r="L39" s="56">
        <f>Data!L20</f>
        <v>3874.64</v>
      </c>
      <c r="M39" s="56">
        <f>Data!M20</f>
        <v>3874.64</v>
      </c>
      <c r="N39" s="56">
        <f>Data!N20</f>
        <v>3874.64</v>
      </c>
      <c r="O39" s="57">
        <f>SUM(C39:N39)</f>
        <v>46495.68</v>
      </c>
      <c r="P39" s="58">
        <f>$O39/$O$52</f>
        <v>0.11826547791272204</v>
      </c>
    </row>
    <row r="40" spans="1:16" ht="19.5" customHeight="1">
      <c r="B40" s="55" t="s">
        <v>72</v>
      </c>
      <c r="C40" s="56">
        <f>Data!C21</f>
        <v>740</v>
      </c>
      <c r="D40" s="56">
        <f>Data!D21</f>
        <v>810</v>
      </c>
      <c r="E40" s="56">
        <f>Data!E21</f>
        <v>878</v>
      </c>
      <c r="F40" s="56">
        <f>Data!F21</f>
        <v>920</v>
      </c>
      <c r="G40" s="56">
        <f>Data!G21</f>
        <v>945</v>
      </c>
      <c r="H40" s="56">
        <f>Data!H21</f>
        <v>1198</v>
      </c>
      <c r="I40" s="56">
        <f>Data!I21</f>
        <v>1285</v>
      </c>
      <c r="J40" s="56">
        <f>Data!J21</f>
        <v>1074</v>
      </c>
      <c r="K40" s="56">
        <f>Data!K21</f>
        <v>867</v>
      </c>
      <c r="L40" s="56">
        <f>Data!L21</f>
        <v>840</v>
      </c>
      <c r="M40" s="56">
        <f>Data!M21</f>
        <v>810</v>
      </c>
      <c r="N40" s="56">
        <f>Data!N21</f>
        <v>790</v>
      </c>
      <c r="O40" s="57">
        <f>SUM(C40:N40)</f>
        <v>11157</v>
      </c>
      <c r="P40" s="58">
        <f>$O40/$O$52</f>
        <v>2.8378721142958654E-2</v>
      </c>
    </row>
    <row r="41" spans="1:16" ht="19.5" customHeight="1">
      <c r="B41" s="55" t="s">
        <v>26</v>
      </c>
      <c r="C41" s="56">
        <f>Data!C22</f>
        <v>2400</v>
      </c>
      <c r="D41" s="56">
        <f>Data!D22</f>
        <v>2400</v>
      </c>
      <c r="E41" s="56">
        <f>Data!E22</f>
        <v>2400</v>
      </c>
      <c r="F41" s="56">
        <f>Data!F22</f>
        <v>2400</v>
      </c>
      <c r="G41" s="56">
        <f>Data!G22</f>
        <v>2400</v>
      </c>
      <c r="H41" s="56">
        <f>Data!H22</f>
        <v>2400</v>
      </c>
      <c r="I41" s="56">
        <f>Data!I22</f>
        <v>2400</v>
      </c>
      <c r="J41" s="56">
        <f>Data!J22</f>
        <v>2400</v>
      </c>
      <c r="K41" s="56">
        <f>Data!K22</f>
        <v>2400</v>
      </c>
      <c r="L41" s="56">
        <f>Data!L22</f>
        <v>2400</v>
      </c>
      <c r="M41" s="56">
        <f>Data!M22</f>
        <v>2400</v>
      </c>
      <c r="N41" s="56">
        <f>Data!N22</f>
        <v>2400</v>
      </c>
      <c r="O41" s="57">
        <f>SUM(C41:N41)</f>
        <v>28800</v>
      </c>
      <c r="P41" s="58">
        <f>$O41/$O$52</f>
        <v>7.3255101632805339E-2</v>
      </c>
    </row>
    <row r="42" spans="1:16" ht="19.5" customHeight="1">
      <c r="B42" s="55" t="s">
        <v>74</v>
      </c>
      <c r="C42" s="56">
        <f>Data!C23</f>
        <v>480</v>
      </c>
      <c r="D42" s="56">
        <f>Data!D23</f>
        <v>420</v>
      </c>
      <c r="E42" s="56">
        <f>Data!E23</f>
        <v>360</v>
      </c>
      <c r="F42" s="56">
        <f>Data!F23</f>
        <v>310</v>
      </c>
      <c r="G42" s="56">
        <f>Data!G23</f>
        <v>280</v>
      </c>
      <c r="H42" s="56">
        <f>Data!H23</f>
        <v>320</v>
      </c>
      <c r="I42" s="56">
        <f>Data!I23</f>
        <v>360</v>
      </c>
      <c r="J42" s="56">
        <f>Data!J23</f>
        <v>400</v>
      </c>
      <c r="K42" s="56">
        <f>Data!K23</f>
        <v>345</v>
      </c>
      <c r="L42" s="56">
        <f>Data!L23</f>
        <v>290</v>
      </c>
      <c r="M42" s="56">
        <f>Data!M23</f>
        <v>320</v>
      </c>
      <c r="N42" s="56">
        <f>Data!N23</f>
        <v>400</v>
      </c>
      <c r="O42" s="57">
        <f>SUM(C42:N42)</f>
        <v>4285</v>
      </c>
      <c r="P42" s="58">
        <f>$O42/$O$52</f>
        <v>1.0899239947797601E-2</v>
      </c>
    </row>
    <row r="43" spans="1:16" ht="19.5" customHeight="1">
      <c r="B43" s="55" t="s">
        <v>75</v>
      </c>
      <c r="C43" s="56">
        <f>Data!C24</f>
        <v>230</v>
      </c>
      <c r="D43" s="56">
        <f>Data!D24</f>
        <v>230</v>
      </c>
      <c r="E43" s="56">
        <f>Data!E24</f>
        <v>230</v>
      </c>
      <c r="F43" s="56">
        <f>Data!F24</f>
        <v>230</v>
      </c>
      <c r="G43" s="56">
        <f>Data!G24</f>
        <v>230</v>
      </c>
      <c r="H43" s="56">
        <f>Data!H24</f>
        <v>230</v>
      </c>
      <c r="I43" s="56">
        <f>Data!I24</f>
        <v>270</v>
      </c>
      <c r="J43" s="56">
        <f>Data!J24</f>
        <v>270</v>
      </c>
      <c r="K43" s="56">
        <f>Data!K24</f>
        <v>270</v>
      </c>
      <c r="L43" s="56">
        <f>Data!L24</f>
        <v>270</v>
      </c>
      <c r="M43" s="56">
        <f>Data!M24</f>
        <v>270</v>
      </c>
      <c r="N43" s="56">
        <f>Data!N24</f>
        <v>270</v>
      </c>
      <c r="O43" s="57">
        <f>SUM(C43:N43)</f>
        <v>3000</v>
      </c>
      <c r="P43" s="58">
        <f>$O43/$O$52</f>
        <v>7.6307397534172237E-3</v>
      </c>
    </row>
    <row r="44" spans="1:16" ht="19.5" customHeight="1">
      <c r="B44" s="55" t="s">
        <v>76</v>
      </c>
      <c r="C44" s="56">
        <f>Data!C25</f>
        <v>1600</v>
      </c>
      <c r="D44" s="56">
        <f>Data!D25</f>
        <v>1600</v>
      </c>
      <c r="E44" s="56">
        <f>Data!E25</f>
        <v>1600</v>
      </c>
      <c r="F44" s="56">
        <f>Data!F25</f>
        <v>1600</v>
      </c>
      <c r="G44" s="56">
        <f>Data!G25</f>
        <v>1600</v>
      </c>
      <c r="H44" s="56">
        <f>Data!H25</f>
        <v>1600</v>
      </c>
      <c r="I44" s="56">
        <f>Data!I25</f>
        <v>1600</v>
      </c>
      <c r="J44" s="56">
        <f>Data!J25</f>
        <v>1600</v>
      </c>
      <c r="K44" s="56">
        <f>Data!K25</f>
        <v>1600</v>
      </c>
      <c r="L44" s="56">
        <f>Data!L25</f>
        <v>1600</v>
      </c>
      <c r="M44" s="56">
        <f>Data!M25</f>
        <v>1600</v>
      </c>
      <c r="N44" s="56">
        <f>Data!N25</f>
        <v>1600</v>
      </c>
      <c r="O44" s="57">
        <f>SUM(C44:N44)</f>
        <v>19200</v>
      </c>
      <c r="P44" s="58">
        <f>$O44/$O$52</f>
        <v>4.8836734421870233E-2</v>
      </c>
    </row>
    <row r="45" spans="1:16" ht="19.5" customHeight="1">
      <c r="B45" s="55" t="s">
        <v>77</v>
      </c>
      <c r="C45" s="56">
        <f>Data!C26</f>
        <v>164</v>
      </c>
      <c r="D45" s="56">
        <f>Data!D26</f>
        <v>92</v>
      </c>
      <c r="E45" s="56">
        <f>Data!E26</f>
        <v>187</v>
      </c>
      <c r="F45" s="56">
        <f>Data!F26</f>
        <v>228</v>
      </c>
      <c r="G45" s="56">
        <f>Data!G26</f>
        <v>336</v>
      </c>
      <c r="H45" s="56">
        <f>Data!H26</f>
        <v>294</v>
      </c>
      <c r="I45" s="56">
        <f>Data!I26</f>
        <v>397</v>
      </c>
      <c r="J45" s="56">
        <f>Data!J26</f>
        <v>188</v>
      </c>
      <c r="K45" s="56">
        <f>Data!K26</f>
        <v>142</v>
      </c>
      <c r="L45" s="56">
        <f>Data!L26</f>
        <v>116</v>
      </c>
      <c r="M45" s="56">
        <f>Data!M26</f>
        <v>98</v>
      </c>
      <c r="N45" s="56">
        <f>Data!N26</f>
        <v>113</v>
      </c>
      <c r="O45" s="57">
        <f>SUM(C45:N45)</f>
        <v>2355</v>
      </c>
      <c r="P45" s="58">
        <f>$O45/$O$52</f>
        <v>5.9901307064325207E-3</v>
      </c>
    </row>
    <row r="46" spans="1:16" ht="19.5" customHeight="1">
      <c r="B46" s="55" t="s">
        <v>31</v>
      </c>
      <c r="C46" s="56">
        <f>Data!C27</f>
        <v>0</v>
      </c>
      <c r="D46" s="56">
        <f>Data!D27</f>
        <v>0</v>
      </c>
      <c r="E46" s="56">
        <f>Data!E27</f>
        <v>200</v>
      </c>
      <c r="F46" s="56">
        <f>Data!F27</f>
        <v>0</v>
      </c>
      <c r="G46" s="56">
        <f>Data!G27</f>
        <v>0</v>
      </c>
      <c r="H46" s="56">
        <f>Data!H27</f>
        <v>180</v>
      </c>
      <c r="I46" s="56">
        <f>Data!I27</f>
        <v>0</v>
      </c>
      <c r="J46" s="56">
        <f>Data!J27</f>
        <v>0</v>
      </c>
      <c r="K46" s="56">
        <f>Data!K27</f>
        <v>0</v>
      </c>
      <c r="L46" s="56">
        <f>Data!L27</f>
        <v>300</v>
      </c>
      <c r="M46" s="56">
        <f>Data!M27</f>
        <v>0</v>
      </c>
      <c r="N46" s="56">
        <f>Data!N27</f>
        <v>0</v>
      </c>
      <c r="O46" s="57">
        <f>SUM(C46:N46)</f>
        <v>680</v>
      </c>
      <c r="P46" s="58">
        <f>$O46/$O$52</f>
        <v>1.7296343441079039E-3</v>
      </c>
    </row>
    <row r="47" spans="1:16" ht="19.5" customHeight="1">
      <c r="B47" s="55" t="s">
        <v>78</v>
      </c>
      <c r="C47" s="56">
        <f>Data!C28</f>
        <v>80</v>
      </c>
      <c r="D47" s="56">
        <f>Data!D28</f>
        <v>80</v>
      </c>
      <c r="E47" s="56">
        <f>Data!E28</f>
        <v>80</v>
      </c>
      <c r="F47" s="56">
        <f>Data!F28</f>
        <v>80</v>
      </c>
      <c r="G47" s="56">
        <f>Data!G28</f>
        <v>80</v>
      </c>
      <c r="H47" s="56">
        <f>Data!H28</f>
        <v>80</v>
      </c>
      <c r="I47" s="56">
        <f>Data!I28</f>
        <v>425</v>
      </c>
      <c r="J47" s="56">
        <f>Data!J28</f>
        <v>80</v>
      </c>
      <c r="K47" s="56">
        <f>Data!K28</f>
        <v>80</v>
      </c>
      <c r="L47" s="56">
        <f>Data!L28</f>
        <v>80</v>
      </c>
      <c r="M47" s="56">
        <f>Data!M28</f>
        <v>80</v>
      </c>
      <c r="N47" s="56">
        <f>Data!N28</f>
        <v>2685</v>
      </c>
      <c r="O47" s="57">
        <f>SUM(C47:N47)</f>
        <v>3910</v>
      </c>
      <c r="P47" s="58">
        <f>$O47/$O$52</f>
        <v>9.9453974786204487E-3</v>
      </c>
    </row>
    <row r="48" spans="1:16" ht="19.5" customHeight="1">
      <c r="B48" s="59" t="s">
        <v>33</v>
      </c>
      <c r="C48" s="56">
        <f>Data!C29</f>
        <v>1065</v>
      </c>
      <c r="D48" s="56">
        <f>Data!D29</f>
        <v>1065</v>
      </c>
      <c r="E48" s="56">
        <f>Data!E29</f>
        <v>1065</v>
      </c>
      <c r="F48" s="56">
        <f>Data!F29</f>
        <v>1065</v>
      </c>
      <c r="G48" s="56">
        <f>Data!G29</f>
        <v>1065</v>
      </c>
      <c r="H48" s="56">
        <f>Data!H29</f>
        <v>1065</v>
      </c>
      <c r="I48" s="56">
        <f>Data!I29</f>
        <v>1065</v>
      </c>
      <c r="J48" s="56">
        <f>Data!J29</f>
        <v>1065</v>
      </c>
      <c r="K48" s="56">
        <f>Data!K29</f>
        <v>1065</v>
      </c>
      <c r="L48" s="56">
        <f>Data!L29</f>
        <v>1065</v>
      </c>
      <c r="M48" s="56">
        <f>Data!M29</f>
        <v>1065</v>
      </c>
      <c r="N48" s="56">
        <f>Data!N29</f>
        <v>1065</v>
      </c>
      <c r="O48" s="60">
        <f>SUM(C48:N48)</f>
        <v>12780</v>
      </c>
      <c r="P48" s="58">
        <f>$O48/$O$52</f>
        <v>3.2506951349557375E-2</v>
      </c>
    </row>
    <row r="49" spans="2:16" ht="19.5" customHeight="1">
      <c r="B49" s="59" t="s">
        <v>34</v>
      </c>
      <c r="C49" s="56">
        <f>Data!C30</f>
        <v>140</v>
      </c>
      <c r="D49" s="56">
        <f>Data!D30</f>
        <v>140</v>
      </c>
      <c r="E49" s="56">
        <f>Data!E30</f>
        <v>140</v>
      </c>
      <c r="F49" s="56">
        <f>Data!F30</f>
        <v>140</v>
      </c>
      <c r="G49" s="56">
        <f>Data!G30</f>
        <v>140</v>
      </c>
      <c r="H49" s="56">
        <f>Data!H30</f>
        <v>140</v>
      </c>
      <c r="I49" s="56">
        <f>Data!I30</f>
        <v>140</v>
      </c>
      <c r="J49" s="56">
        <f>Data!J30</f>
        <v>140</v>
      </c>
      <c r="K49" s="56">
        <f>Data!K30</f>
        <v>140</v>
      </c>
      <c r="L49" s="56">
        <f>Data!L30</f>
        <v>140</v>
      </c>
      <c r="M49" s="56">
        <f>Data!M30</f>
        <v>140</v>
      </c>
      <c r="N49" s="56">
        <f>Data!N30</f>
        <v>140</v>
      </c>
      <c r="O49" s="60">
        <f>SUM(C49:N49)</f>
        <v>1680</v>
      </c>
      <c r="P49" s="58">
        <f>$O49/$O$52</f>
        <v>4.2732142619136453E-3</v>
      </c>
    </row>
    <row r="50" spans="2:16" ht="19.5" customHeight="1">
      <c r="B50" s="59" t="s">
        <v>35</v>
      </c>
      <c r="C50" s="56">
        <f>Data!C31</f>
        <v>108</v>
      </c>
      <c r="D50" s="56">
        <f>Data!D31</f>
        <v>108</v>
      </c>
      <c r="E50" s="56">
        <f>Data!E31</f>
        <v>108</v>
      </c>
      <c r="F50" s="56">
        <f>Data!F31</f>
        <v>108</v>
      </c>
      <c r="G50" s="56">
        <f>Data!G31</f>
        <v>108</v>
      </c>
      <c r="H50" s="56">
        <f>Data!H31</f>
        <v>108</v>
      </c>
      <c r="I50" s="56">
        <f>Data!I31</f>
        <v>108</v>
      </c>
      <c r="J50" s="56">
        <f>Data!J31</f>
        <v>108</v>
      </c>
      <c r="K50" s="56">
        <f>Data!K31</f>
        <v>108</v>
      </c>
      <c r="L50" s="56">
        <f>Data!L31</f>
        <v>108</v>
      </c>
      <c r="M50" s="56">
        <f>Data!M31</f>
        <v>108</v>
      </c>
      <c r="N50" s="56">
        <f>Data!N31</f>
        <v>108</v>
      </c>
      <c r="O50" s="60">
        <f>SUM(C50:N50)</f>
        <v>1296</v>
      </c>
      <c r="P50" s="58">
        <f>$O50/$O$52</f>
        <v>3.2964795734762406E-3</v>
      </c>
    </row>
    <row r="51" spans="2:16" ht="19.5" customHeight="1">
      <c r="B51" s="61" t="s">
        <v>36</v>
      </c>
      <c r="C51" s="62">
        <f>Data!C32</f>
        <v>515</v>
      </c>
      <c r="D51" s="62">
        <f>Data!D32</f>
        <v>515</v>
      </c>
      <c r="E51" s="62">
        <f>Data!E32</f>
        <v>515</v>
      </c>
      <c r="F51" s="62">
        <f>Data!F32</f>
        <v>515</v>
      </c>
      <c r="G51" s="62">
        <f>Data!G32</f>
        <v>515</v>
      </c>
      <c r="H51" s="62">
        <f>Data!H32</f>
        <v>515</v>
      </c>
      <c r="I51" s="62">
        <f>Data!I32</f>
        <v>515</v>
      </c>
      <c r="J51" s="62">
        <f>Data!J32</f>
        <v>515</v>
      </c>
      <c r="K51" s="62">
        <f>Data!K32</f>
        <v>515</v>
      </c>
      <c r="L51" s="62">
        <f>Data!L32</f>
        <v>515</v>
      </c>
      <c r="M51" s="62">
        <f>Data!M32</f>
        <v>515</v>
      </c>
      <c r="N51" s="62">
        <f>Data!N32</f>
        <v>515</v>
      </c>
      <c r="O51" s="63">
        <f>SUM(C51:N51)</f>
        <v>6180</v>
      </c>
      <c r="P51" s="64">
        <f>$O51/$O$52</f>
        <v>1.5719323892039481E-2</v>
      </c>
    </row>
    <row r="52" spans="2:16" ht="19.5" customHeight="1">
      <c r="B52" s="65" t="s">
        <v>102</v>
      </c>
      <c r="C52" s="66">
        <f>SUM(C38:C51)</f>
        <v>32340.639999999999</v>
      </c>
      <c r="D52" s="66">
        <f>SUM(D38:D51)</f>
        <v>32278.639999999999</v>
      </c>
      <c r="E52" s="66">
        <f>SUM(E38:E51)</f>
        <v>32581.64</v>
      </c>
      <c r="F52" s="66">
        <f>SUM(F38:F51)</f>
        <v>32414.639999999999</v>
      </c>
      <c r="G52" s="66">
        <f>SUM(G38:G51)</f>
        <v>32517.64</v>
      </c>
      <c r="H52" s="66">
        <f>SUM(H38:H51)</f>
        <v>32948.639999999999</v>
      </c>
      <c r="I52" s="66">
        <f>SUM(I38:I51)</f>
        <v>33383.64</v>
      </c>
      <c r="J52" s="66">
        <f>SUM(J38:J51)</f>
        <v>32658.639999999999</v>
      </c>
      <c r="K52" s="66">
        <f>SUM(K38:K51)</f>
        <v>32350.639999999999</v>
      </c>
      <c r="L52" s="66">
        <f>SUM(L38:L51)</f>
        <v>32542.639999999999</v>
      </c>
      <c r="M52" s="66">
        <f>SUM(M38:M51)</f>
        <v>32224.639999999999</v>
      </c>
      <c r="N52" s="66">
        <f>SUM(N38:N51)</f>
        <v>34904.639999999999</v>
      </c>
      <c r="O52" s="66">
        <f>SUM(O38:O51)</f>
        <v>393146.68</v>
      </c>
      <c r="P52" s="67">
        <f>SUM(P38:P51)</f>
        <v>1</v>
      </c>
    </row>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sheetData>
  <mergeCells count="4">
    <mergeCell ref="E2:F2"/>
    <mergeCell ref="G2:H2"/>
    <mergeCell ref="E6:H6"/>
    <mergeCell ref="M6:P6"/>
  </mergeCells>
  <conditionalFormatting sqref="C24:P25">
    <cfRule type="expression" dxfId="0" priority="2">
      <formula>C24&lt;0</formula>
    </cfRule>
  </conditionalFormatting>
  <dataValidations count="22">
    <dataValidation allowBlank="1" showInputMessage="1" showErrorMessage="1" prompt="Create Monthly College Budget in this worksheet. Title of this worksheet is in cell at right and cell B2. Helpful instructions on how to use this worksheet are in cells in this column. Next instruction is in cell A5." sqref="A1:A2" xr:uid="{00000000-0002-0000-0200-000000000000}">
      <formula1>0</formula1>
      <formula2>0</formula2>
    </dataValidation>
    <dataValidation allowBlank="1" showInputMessage="1" showErrorMessage="1" prompt="Income label is in cell at right, Expenses label in cell E5, and Cash Flow label in M5." sqref="A5" xr:uid="{00000000-0002-0000-0200-000001000000}">
      <formula1>0</formula1>
      <formula2>0</formula2>
    </dataValidation>
    <dataValidation allowBlank="1" showInputMessage="1" showErrorMessage="1" prompt="Donut chart showing income summary in cell at right, expenses summary in cell E7, and bar chart showing positive and negative cash flow in cell M7 are auto updated. Next instruction is in cell A17." sqref="A7" xr:uid="{00000000-0002-0000-0200-000002000000}">
      <formula1>0</formula1>
      <formula2>0</formula2>
    </dataValidation>
    <dataValidation allowBlank="1" showInputMessage="1" showErrorMessage="1" prompt="Donut chart showing income summary for selected month or year is in this cell." sqref="B7" xr:uid="{00000000-0002-0000-0200-000003000000}">
      <formula1>0</formula1>
      <formula2>0</formula2>
    </dataValidation>
    <dataValidation allowBlank="1" showInputMessage="1" showErrorMessage="1" prompt="Line chart showing cash flow for the selected month or year is in this cell." sqref="B17" xr:uid="{00000000-0002-0000-0200-000004000000}">
      <formula1>0</formula1>
      <formula2>0</formula2>
    </dataValidation>
    <dataValidation allowBlank="1" showInputMessage="1" showErrorMessage="1" prompt="Cumulative Cash Flow label is in cell at right. Cumulative Cash Flow for each month is auto calculated in cells C30 through N30, Annual amount in O30, and percent increase in P30. Sparkline is auto updated Q30. Next instruction is in cell A32." sqref="A25" xr:uid="{00000000-0002-0000-0200-000005000000}">
      <formula1>0</formula1>
      <formula2>0</formula2>
    </dataValidation>
    <dataValidation allowBlank="1" showInputMessage="1" showErrorMessage="1" prompt="Total Income label is in cell at right. Total Income for each month is auto calculated in cells C38 through N38, Annual income in O38, and percent increase in P38. Sparkline is auto updated in Q38. Next instruction is in cell A40." sqref="A34" xr:uid="{00000000-0002-0000-0200-000006000000}">
      <formula1>0</formula1>
      <formula2>0</formula2>
    </dataValidation>
    <dataValidation allowBlank="1" showInputMessage="1" showErrorMessage="1" prompt="Monthly Expense label is in cell at right, months in cells C40 through N40, Year in O40, and percent increase label in P40." sqref="A36:A37" xr:uid="{00000000-0002-0000-0200-000007000000}">
      <formula1>0</formula1>
      <formula2>0</formula2>
    </dataValidation>
    <dataValidation allowBlank="1" showInputMessage="1" showErrorMessage="1" prompt="Enter or modify expense item in cell at right, &amp; monthly amounts in cells C46 through N48. Annual amount is auto calculated in cells O46 through O48, &amp; % increase in cells P46 through P48. Sparkline is auto updated in Q46. Next instruction is in cell A50." sqref="A40" xr:uid="{00000000-0002-0000-0200-000008000000}">
      <formula1>0</formula1>
      <formula2>0</formula2>
    </dataValidation>
    <dataValidation allowBlank="1" showInputMessage="1" showErrorMessage="1" prompt="Enter or modify expense item in cell at right, &amp; monthly amounts in cells C54 through N58. Annual amount is auto calculated in cells O54 through O58, &amp; % increase in cells P54 through P58. Sparkline is auto updated in Q54. Next instruction is in cell A60." sqref="A42" xr:uid="{00000000-0002-0000-0200-000009000000}">
      <formula1>0</formula1>
      <formula2>0</formula2>
    </dataValidation>
    <dataValidation allowBlank="1" showInputMessage="1" showErrorMessage="1" prompt="Enter or modify expense item in cell at right, &amp; monthly amounts in cells C60 through N66. Annual amount is auto calculated in cells O60 through O66, &amp; % increase in cells P60 through P66. Sparkline is auto updated in Q60. Next instruction is in cell A68." sqref="A43 A45:A51" xr:uid="{00000000-0002-0000-0200-00000A000000}">
      <formula1>0</formula1>
      <formula2>0</formula2>
    </dataValidation>
    <dataValidation allowBlank="1" showInputMessage="1" showErrorMessage="1" prompt="Enter or modify expense item in cell at right, &amp; monthly amounts in cells C68 through N71. Annual amount is auto calculated in cells O68 through O71, &amp; % increase in cells P68 through P71. Sparkline is auto updated in Q68. Next instruction is in cell A73." sqref="A44" xr:uid="{00000000-0002-0000-0200-00000B000000}">
      <formula1>0</formula1>
      <formula2>0</formula2>
    </dataValidation>
    <dataValidation allowBlank="1" showInputMessage="1" showErrorMessage="1" prompt="Total Expenses label is in cell at right. Total Expenses for each month are auto calculated in cells C73 through N73, Annual expenses in O73, and percent increase in P73. Sparkline is auto updated in Q73" sqref="A52" xr:uid="{00000000-0002-0000-0200-00000C000000}">
      <formula1>0</formula1>
      <formula2>0</formula2>
    </dataValidation>
    <dataValidation allowBlank="1" showInputMessage="1" showErrorMessage="1" prompt="Donut chart showing expenses summary for selected month or year is in this cell." sqref="E7" xr:uid="{00000000-0002-0000-0200-00000D000000}">
      <formula1>0</formula1>
      <formula2>0</formula2>
    </dataValidation>
    <dataValidation allowBlank="1" showInputMessage="1" showErrorMessage="1" prompt="Income is auto updated in cell at right, Expenses in cell E6, and Cash Flow in M6." sqref="A6" xr:uid="{00000000-0002-0000-0200-00000E000000}">
      <formula1>0</formula1>
      <formula2>0</formula2>
    </dataValidation>
    <dataValidation allowBlank="1" showInputMessage="1" showErrorMessage="1" prompt="Bar chart showing positive and negative cash flow for selected month or year is in this cell." sqref="M7" xr:uid="{00000000-0002-0000-0200-00000F000000}">
      <formula1>0</formula1>
      <formula2>0</formula2>
    </dataValidation>
    <dataValidation allowBlank="1" showInputMessage="1" showErrorMessage="1" prompt="Cash flow line chart is in cell at right. Next instruction is in cell A21." sqref="A18" xr:uid="{00000000-0002-0000-0200-000010000000}">
      <formula1>0</formula1>
      <formula2>0</formula2>
    </dataValidation>
    <dataValidation allowBlank="1" showInputMessage="1" showErrorMessage="1" prompt="Enter or modify expense item in cell at right, &amp; monthly amounts in cells C41 through N44. Annual amount is auto calculated in cells O41 through O44, &amp; % increase in cells P41 through P44. Sparkline is auto updated in Q41. Next instruction is in cell A46." sqref="A22 A27 A38:A39" xr:uid="{00000000-0002-0000-0200-000011000000}">
      <formula1>0</formula1>
      <formula2>0</formula2>
    </dataValidation>
    <dataValidation allowBlank="1" showInputMessage="1" showErrorMessage="1" prompt="Labels are in this row, Monthly Cash After Expense label in cell at right, months in cells C28 through N28, Year in O28, and percent Increase in P28." sqref="A23" xr:uid="{00000000-0002-0000-0200-000012000000}">
      <formula1>0</formula1>
      <formula2>0</formula2>
    </dataValidation>
    <dataValidation allowBlank="1" showInputMessage="1" showErrorMessage="1" prompt="Cash Flow label is in cell at right. Cash Flow for each month is auto calculated in cells C29 through N29, Annual amount in O29, and percent increase in P29. Sparkline is auto updated in Q29." sqref="A24" xr:uid="{00000000-0002-0000-0200-000013000000}">
      <formula1>0</formula1>
      <formula2>0</formula2>
    </dataValidation>
    <dataValidation allowBlank="1" showInputMessage="1" showErrorMessage="1" sqref="E2" xr:uid="{00000000-0002-0000-0200-000014000000}">
      <formula1>0</formula1>
      <formula2>0</formula2>
    </dataValidation>
    <dataValidation type="list" allowBlank="1" showInputMessage="1" showErrorMessage="1" sqref="G2" xr:uid="{00000000-0002-0000-0200-000015000000}">
      <formula1>$C$27:$O$27</formula1>
      <formula2>0</formula2>
    </dataValidation>
  </dataValidations>
  <printOptions horizontalCentered="1"/>
  <pageMargins left="0.25" right="0.25" top="0.75" bottom="0.75" header="0.511811023622047" footer="0.511811023622047"/>
  <pageSetup scale="65" fitToWidth="0" fitToHeight="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showGridLines="0" zoomScaleNormal="100" workbookViewId="0"/>
  </sheetViews>
  <sheetFormatPr defaultColWidth="9.140625" defaultRowHeight="14.25"/>
  <cols>
    <col min="3" max="3" width="46.42578125" style="1" customWidth="1"/>
  </cols>
  <sheetData>
    <row r="1" spans="1:16">
      <c r="A1" s="1" t="s">
        <v>103</v>
      </c>
    </row>
    <row r="3" spans="1:16">
      <c r="D3" s="1" t="str">
        <f>IFERROR(LOWER(TEXT(VALUE(SelectedPeriod&amp;" 1"),"mmmm")),"year")</f>
        <v>january</v>
      </c>
    </row>
    <row r="5" spans="1:16">
      <c r="D5" s="68" t="s">
        <v>104</v>
      </c>
      <c r="E5" s="68"/>
      <c r="F5" s="68"/>
    </row>
    <row r="6" spans="1:16">
      <c r="D6" s="1" t="str">
        <f>D3&amp;" income:"</f>
        <v>january income:</v>
      </c>
      <c r="F6" s="1" t="str">
        <f>TEXT(INDEX('Yearly Forecast'!$C$34:$O$34,,SelectedPeriodColumn),"$#,###")</f>
        <v>$40,753</v>
      </c>
    </row>
    <row r="7" spans="1:16">
      <c r="D7" s="1" t="str">
        <f>D3&amp;" expenses:"</f>
        <v>january expenses:</v>
      </c>
      <c r="F7" s="1" t="str">
        <f>TEXT(INDEX('Yearly Forecast'!$C$52:$O$52,,SelectedPeriodColumn),"$#,###")</f>
        <v>$32,341</v>
      </c>
    </row>
    <row r="8" spans="1:16">
      <c r="D8" s="1" t="str">
        <f>D3&amp;" cash flow:"</f>
        <v>january cash flow:</v>
      </c>
      <c r="E8" s="69">
        <f>INDEX('Yearly Forecast'!C24:O24,ScrollBarValue)</f>
        <v>8411.86</v>
      </c>
      <c r="F8" s="1" t="str">
        <f>TEXT(E8,"$#,###")</f>
        <v>$8,412</v>
      </c>
    </row>
    <row r="12" spans="1:16">
      <c r="D12" s="70" t="str">
        <f>LOWER('Yearly Forecast'!C23)</f>
        <v>jan</v>
      </c>
      <c r="E12" s="70" t="str">
        <f>LOWER('Yearly Forecast'!D23)</f>
        <v>feb</v>
      </c>
      <c r="F12" s="70" t="str">
        <f>LOWER('Yearly Forecast'!E23)</f>
        <v>mar</v>
      </c>
      <c r="G12" s="70" t="str">
        <f>LOWER('Yearly Forecast'!F23)</f>
        <v>apr</v>
      </c>
      <c r="H12" s="70" t="str">
        <f>LOWER('Yearly Forecast'!G23)</f>
        <v>may</v>
      </c>
      <c r="I12" s="70" t="str">
        <f>LOWER('Yearly Forecast'!H23)</f>
        <v>jun</v>
      </c>
      <c r="J12" s="70" t="str">
        <f>LOWER('Yearly Forecast'!I23)</f>
        <v>jul</v>
      </c>
      <c r="K12" s="70" t="str">
        <f>LOWER('Yearly Forecast'!J23)</f>
        <v>aug</v>
      </c>
      <c r="L12" s="70" t="str">
        <f>LOWER('Yearly Forecast'!K23)</f>
        <v>sep</v>
      </c>
      <c r="M12" s="70" t="str">
        <f>LOWER('Yearly Forecast'!L23)</f>
        <v>oct</v>
      </c>
      <c r="N12" s="70" t="str">
        <f>LOWER('Yearly Forecast'!M23)</f>
        <v>nov</v>
      </c>
      <c r="O12" s="70" t="str">
        <f>LOWER('Yearly Forecast'!N23)</f>
        <v>dec</v>
      </c>
      <c r="P12" s="70" t="str">
        <f>LOWER('Yearly Forecast'!O23)</f>
        <v xml:space="preserve">year  </v>
      </c>
    </row>
    <row r="13" spans="1:16">
      <c r="C13" s="71" t="s">
        <v>105</v>
      </c>
      <c r="D13" s="72">
        <v>1</v>
      </c>
    </row>
    <row r="14" spans="1:16">
      <c r="C14" s="71" t="s">
        <v>106</v>
      </c>
      <c r="D14" s="69">
        <f>IF(SelectedPeriod='Yearly Forecast'!C$27,IF('Yearly Forecast'!$C$24:$O$24&gt;=0,'Yearly Forecast'!$C$24:$O$24,NA()),NA())</f>
        <v>12957.36</v>
      </c>
      <c r="E14" s="69" t="e">
        <f>IF(SelectedPeriod='Yearly Forecast'!D$27,IF('Yearly Forecast'!$C$24:$O$24&gt;=0,'Yearly Forecast'!$C$24:$O$24,NA()),NA())</f>
        <v>#N/A</v>
      </c>
      <c r="F14" s="70" t="e">
        <f>IF(SelectedPeriod='Yearly Forecast'!E$27,IF('Yearly Forecast'!$C$24:$O$24&gt;=0,'Yearly Forecast'!$C$24:$O$24,NA()),NA())</f>
        <v>#N/A</v>
      </c>
      <c r="G14" s="70" t="e">
        <f>IF(SelectedPeriod='Yearly Forecast'!F$27,IF('Yearly Forecast'!$C$24:$O$24&gt;=0,'Yearly Forecast'!$C$24:$O$24,NA()),NA())</f>
        <v>#N/A</v>
      </c>
      <c r="H14" s="70" t="e">
        <f>IF(SelectedPeriod='Yearly Forecast'!G$27,IF('Yearly Forecast'!$C$24:$O$24&gt;=0,'Yearly Forecast'!$C$24:$O$24,NA()),NA())</f>
        <v>#N/A</v>
      </c>
      <c r="I14" s="70" t="e">
        <f>IF(SelectedPeriod='Yearly Forecast'!H$27,IF('Yearly Forecast'!$C$24:$O$24&gt;=0,'Yearly Forecast'!$C$24:$O$24,NA()),NA())</f>
        <v>#N/A</v>
      </c>
      <c r="J14" s="70" t="e">
        <f>IF(SelectedPeriod='Yearly Forecast'!I$27,IF('Yearly Forecast'!$C$24:$O$24&gt;=0,'Yearly Forecast'!$C$24:$O$24,NA()),NA())</f>
        <v>#N/A</v>
      </c>
      <c r="K14" s="70" t="e">
        <f>IF(SelectedPeriod='Yearly Forecast'!J$27,IF('Yearly Forecast'!$C$24:$O$24&gt;=0,'Yearly Forecast'!$C$24:$O$24,NA()),NA())</f>
        <v>#N/A</v>
      </c>
      <c r="L14" s="70" t="e">
        <f>IF(SelectedPeriod='Yearly Forecast'!K$27,IF('Yearly Forecast'!$C$24:$O$24&gt;=0,'Yearly Forecast'!$C$24:$O$24,NA()),NA())</f>
        <v>#N/A</v>
      </c>
      <c r="M14" s="70" t="e">
        <f>IF(SelectedPeriod='Yearly Forecast'!L$27,IF('Yearly Forecast'!$C$24:$O$24&gt;=0,'Yearly Forecast'!$C$24:$O$24,NA()),NA())</f>
        <v>#N/A</v>
      </c>
      <c r="N14" s="70" t="e">
        <f>IF(SelectedPeriod='Yearly Forecast'!M$27,IF('Yearly Forecast'!$C$24:$O$24&gt;=0,'Yearly Forecast'!$C$24:$O$24,NA()),NA())</f>
        <v>#N/A</v>
      </c>
      <c r="O14" s="70" t="e">
        <f>IF(SelectedPeriod='Yearly Forecast'!N$27,IF('Yearly Forecast'!$C$24:$O$24&gt;=0,'Yearly Forecast'!$C$24:$O$24,NA()),NA())</f>
        <v>#N/A</v>
      </c>
      <c r="P14" s="70" t="e">
        <f>IF(SelectedPeriod='Yearly Forecast'!O$27,IF('Yearly Forecast'!$C$24:$O$24&gt;=0,'Yearly Forecast'!$C$24:$O$24,NA()),NA())</f>
        <v>#N/A</v>
      </c>
    </row>
    <row r="15" spans="1:16">
      <c r="C15" s="71" t="s">
        <v>107</v>
      </c>
      <c r="D15" s="70" t="e">
        <f>IF(SelectedPeriod='Yearly Forecast'!C$27,IF('Yearly Forecast'!$C$24:$O$24&lt;0,'Yearly Forecast'!$C$24:$O$24,NA()),NA())</f>
        <v>#N/A</v>
      </c>
      <c r="E15" s="70" t="e">
        <f>IF(SelectedPeriod='Yearly Forecast'!D$27,IF('Yearly Forecast'!$C$24:$O$24&lt;0,'Yearly Forecast'!$C$24:$O$24,NA()),NA())</f>
        <v>#N/A</v>
      </c>
      <c r="F15" s="70" t="e">
        <f>IF(SelectedPeriod='Yearly Forecast'!E$27,IF('Yearly Forecast'!$C$24:$O$24&lt;0,'Yearly Forecast'!$C$24:$O$24,NA()),NA())</f>
        <v>#N/A</v>
      </c>
      <c r="G15" s="70" t="e">
        <f>IF(SelectedPeriod='Yearly Forecast'!F$27,IF('Yearly Forecast'!$C$24:$O$24&lt;0,'Yearly Forecast'!$C$24:$O$24,NA()),NA())</f>
        <v>#N/A</v>
      </c>
      <c r="H15" s="70" t="e">
        <f>IF(SelectedPeriod='Yearly Forecast'!G$27,IF('Yearly Forecast'!$C$24:$O$24&lt;0,'Yearly Forecast'!$C$24:$O$24,NA()),NA())</f>
        <v>#N/A</v>
      </c>
      <c r="I15" s="70" t="e">
        <f>IF(SelectedPeriod='Yearly Forecast'!H$27,IF('Yearly Forecast'!$C$24:$O$24&lt;0,'Yearly Forecast'!$C$24:$O$24,NA()),NA())</f>
        <v>#N/A</v>
      </c>
      <c r="J15" s="70" t="e">
        <f>IF(SelectedPeriod='Yearly Forecast'!I$27,IF('Yearly Forecast'!$C$24:$O$24&lt;0,'Yearly Forecast'!$C$24:$O$24,NA()),NA())</f>
        <v>#N/A</v>
      </c>
      <c r="K15" s="70" t="e">
        <f>IF(SelectedPeriod='Yearly Forecast'!J$27,IF('Yearly Forecast'!$C$24:$O$24&lt;0,'Yearly Forecast'!$C$24:$O$24,NA()),NA())</f>
        <v>#N/A</v>
      </c>
      <c r="L15" s="70" t="e">
        <f>IF(SelectedPeriod='Yearly Forecast'!K$27,IF('Yearly Forecast'!$C$24:$O$24&lt;0,'Yearly Forecast'!$C$24:$O$24,NA()),NA())</f>
        <v>#N/A</v>
      </c>
      <c r="M15" s="70" t="e">
        <f>IF(SelectedPeriod='Yearly Forecast'!L$27,IF('Yearly Forecast'!$C$24:$O$24&lt;0,'Yearly Forecast'!$C$24:$O$24,NA()),NA())</f>
        <v>#N/A</v>
      </c>
      <c r="N15" s="70" t="e">
        <f>IF(SelectedPeriod='Yearly Forecast'!M$27,IF('Yearly Forecast'!$C$24:$O$24&lt;0,'Yearly Forecast'!$C$24:$O$24,NA()),NA())</f>
        <v>#N/A</v>
      </c>
      <c r="O15" s="70" t="e">
        <f>IF(SelectedPeriod='Yearly Forecast'!N$27,IF('Yearly Forecast'!$C$24:$O$24&lt;0,'Yearly Forecast'!$C$24:$O$24,NA()),NA())</f>
        <v>#N/A</v>
      </c>
      <c r="P15" s="70" t="e">
        <f>IF(SelectedPeriod='Yearly Forecast'!O$27,IF('Yearly Forecast'!$C$24:$O$24&lt;0,'Yearly Forecast'!$C$24:$O$24,NA()),NA())</f>
        <v>#N/A</v>
      </c>
    </row>
    <row r="18" spans="3:4">
      <c r="C18" s="73" t="s">
        <v>108</v>
      </c>
      <c r="D18" s="68"/>
    </row>
    <row r="19" spans="3:4">
      <c r="C19" s="1" t="s">
        <v>109</v>
      </c>
      <c r="D19" s="74">
        <f>'Yearly Forecast'!P28</f>
        <v>0.15341522256645329</v>
      </c>
    </row>
    <row r="20" spans="3:4">
      <c r="C20" s="1" t="s">
        <v>110</v>
      </c>
      <c r="D20" s="74">
        <f>'Yearly Forecast'!P29</f>
        <v>0.15965350309590104</v>
      </c>
    </row>
    <row r="21" spans="3:4">
      <c r="C21" s="1" t="s">
        <v>111</v>
      </c>
      <c r="D21" s="74">
        <f>'Yearly Forecast'!P30</f>
        <v>0.47377525632143341</v>
      </c>
    </row>
    <row r="22" spans="3:4">
      <c r="C22" s="1" t="s">
        <v>112</v>
      </c>
      <c r="D22" s="74">
        <f>'Yearly Forecast'!P31</f>
        <v>0.14445504734266679</v>
      </c>
    </row>
    <row r="23" spans="3:4">
      <c r="C23" s="1" t="s">
        <v>113</v>
      </c>
      <c r="D23" s="74">
        <f>'Yearly Forecast'!P32</f>
        <v>4.4844449673270968E-2</v>
      </c>
    </row>
    <row r="24" spans="3:4">
      <c r="D24" s="74"/>
    </row>
  </sheetData>
  <pageMargins left="0.7" right="0.7" top="0.75" bottom="0.75" header="0.511811023622047" footer="0.511811023622047"/>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C28C3-F36A-4F6C-A3DE-4D0CEF55EE20}"/>
</file>

<file path=docProps/app.xml><?xml version="1.0" encoding="utf-8"?>
<Properties xmlns="http://schemas.openxmlformats.org/officeDocument/2006/extended-properties" xmlns:vt="http://schemas.openxmlformats.org/officeDocument/2006/docPropsVTypes">
  <Template>TM02930047</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Steven Adams</cp:lastModifiedBy>
  <cp:revision>65</cp:revision>
  <dcterms:created xsi:type="dcterms:W3CDTF">2026-03-29T14:47:41Z</dcterms:created>
  <dcterms:modified xsi:type="dcterms:W3CDTF">2026-04-07T15:41:05Z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